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christinaberger/Downloads/"/>
    </mc:Choice>
  </mc:AlternateContent>
  <xr:revisionPtr revIDLastSave="0" documentId="13_ncr:1_{7728EC84-E93C-1041-ACAE-2C4DB98864E2}" xr6:coauthVersionLast="33" xr6:coauthVersionMax="33" xr10:uidLastSave="{00000000-0000-0000-0000-000000000000}"/>
  <bookViews>
    <workbookView xWindow="33920" yWindow="2160" windowWidth="27760" windowHeight="15740" tabRatio="599" xr2:uid="{00000000-000D-0000-FFFF-FFFF00000000}"/>
  </bookViews>
  <sheets>
    <sheet name="Reporting Main" sheetId="24" r:id="rId1"/>
    <sheet name="Revenue_detail" sheetId="35" r:id="rId2"/>
    <sheet name="Balance Sheet USD" sheetId="33" r:id="rId3"/>
    <sheet name="Result Report USD" sheetId="26" r:id="rId4"/>
    <sheet name="Historic 2008-2016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2008-2016'!$B$2:$J$34</definedName>
    <definedName name="_xlnm.Print_Area" localSheetId="0">'Reporting Main'!$B$2:$G$17</definedName>
    <definedName name="_xlnm.Print_Area" localSheetId="3">'Result Report USD'!$B$1:$N$48</definedName>
    <definedName name="_xlnm.Print_Area" localSheetId="1">Revenue_detail!$B$2:$E$93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24" l="1"/>
  <c r="J38" i="24"/>
  <c r="I38" i="24"/>
  <c r="H38" i="24"/>
  <c r="G38" i="24"/>
  <c r="F38" i="24"/>
  <c r="E38" i="24"/>
  <c r="D38" i="24"/>
  <c r="C38" i="24"/>
  <c r="H45" i="24"/>
  <c r="G45" i="24"/>
  <c r="F45" i="24"/>
  <c r="E45" i="24"/>
  <c r="D45" i="24"/>
  <c r="C45" i="24"/>
  <c r="B45" i="24"/>
  <c r="C44" i="24"/>
  <c r="H46" i="24"/>
  <c r="H44" i="24"/>
  <c r="G44" i="24"/>
  <c r="F44" i="24"/>
  <c r="E44" i="24"/>
  <c r="D44" i="24"/>
  <c r="B44" i="24"/>
  <c r="L37" i="24"/>
  <c r="K37" i="24"/>
  <c r="J37" i="24"/>
  <c r="I37" i="24"/>
  <c r="H37" i="24"/>
  <c r="G37" i="24"/>
  <c r="F37" i="24"/>
  <c r="E37" i="24"/>
  <c r="D37" i="24"/>
  <c r="C37" i="24"/>
  <c r="B37" i="24"/>
  <c r="N21" i="26" l="1"/>
  <c r="N18" i="26"/>
  <c r="N17" i="26"/>
  <c r="N16" i="26"/>
  <c r="N15" i="26"/>
  <c r="N12" i="26"/>
  <c r="N11" i="26"/>
  <c r="N7" i="26"/>
  <c r="N22" i="26" s="1"/>
  <c r="N48" i="26" s="1"/>
  <c r="M17" i="26"/>
  <c r="M16" i="26"/>
  <c r="M11" i="26"/>
  <c r="D40" i="35"/>
  <c r="D93" i="35" s="1"/>
  <c r="E40" i="35"/>
  <c r="E93" i="35" s="1"/>
  <c r="D24" i="24"/>
  <c r="E14" i="35"/>
  <c r="D23" i="24"/>
  <c r="D30" i="24" s="1"/>
  <c r="E44" i="35"/>
  <c r="D26" i="24" s="1"/>
  <c r="E72" i="35"/>
  <c r="E88" i="35"/>
  <c r="D28" i="24" s="1"/>
  <c r="E92" i="35"/>
  <c r="D29" i="24" s="1"/>
  <c r="D25" i="24"/>
  <c r="D14" i="35"/>
  <c r="G1" i="35"/>
  <c r="F12" i="26"/>
  <c r="F21" i="26"/>
  <c r="F18" i="26"/>
  <c r="F17" i="26"/>
  <c r="F16" i="26"/>
  <c r="F22" i="26" s="1"/>
  <c r="F15" i="26"/>
  <c r="F11" i="26"/>
  <c r="F7" i="26"/>
  <c r="M22" i="26"/>
  <c r="M48" i="26" s="1"/>
  <c r="L22" i="26"/>
  <c r="L48" i="26" s="1"/>
  <c r="E22" i="26"/>
  <c r="E48" i="26" s="1"/>
  <c r="D22" i="26"/>
  <c r="F39" i="26"/>
  <c r="F40" i="26"/>
  <c r="F41" i="26"/>
  <c r="F42" i="26"/>
  <c r="F43" i="26"/>
  <c r="F44" i="26"/>
  <c r="F38" i="26"/>
  <c r="F46" i="26" s="1"/>
  <c r="J46" i="26" s="1"/>
  <c r="F26" i="26"/>
  <c r="F27" i="26"/>
  <c r="F28" i="26"/>
  <c r="F29" i="26"/>
  <c r="F30" i="26"/>
  <c r="F31" i="26"/>
  <c r="F32" i="26"/>
  <c r="F33" i="26"/>
  <c r="F35" i="26" s="1"/>
  <c r="J35" i="26" s="1"/>
  <c r="F34" i="26"/>
  <c r="F25" i="26"/>
  <c r="N39" i="26"/>
  <c r="N40" i="26"/>
  <c r="N41" i="26"/>
  <c r="N42" i="26"/>
  <c r="N46" i="26" s="1"/>
  <c r="N43" i="26"/>
  <c r="N44" i="26"/>
  <c r="N38" i="26"/>
  <c r="N26" i="26"/>
  <c r="N27" i="26"/>
  <c r="N28" i="26"/>
  <c r="N29" i="26"/>
  <c r="N35" i="26" s="1"/>
  <c r="N30" i="26"/>
  <c r="N31" i="26"/>
  <c r="N32" i="26"/>
  <c r="N33" i="26"/>
  <c r="N34" i="26"/>
  <c r="N25" i="26"/>
  <c r="L35" i="26"/>
  <c r="K32" i="28"/>
  <c r="K34" i="28" s="1"/>
  <c r="K11" i="28"/>
  <c r="K17" i="28"/>
  <c r="C14" i="33"/>
  <c r="C25" i="33"/>
  <c r="D35" i="26"/>
  <c r="E35" i="26"/>
  <c r="G35" i="26"/>
  <c r="H35" i="26"/>
  <c r="I35" i="26"/>
  <c r="M35" i="26"/>
  <c r="D46" i="26"/>
  <c r="D48" i="26" s="1"/>
  <c r="E46" i="26"/>
  <c r="G46" i="26"/>
  <c r="G48" i="26" s="1"/>
  <c r="H46" i="26"/>
  <c r="I46" i="26"/>
  <c r="L46" i="26"/>
  <c r="M46" i="26"/>
  <c r="H11" i="28"/>
  <c r="H17" i="28"/>
  <c r="H36" i="28" s="1"/>
  <c r="H34" i="28"/>
  <c r="T17" i="35"/>
  <c r="V18" i="35"/>
  <c r="T18" i="35"/>
  <c r="T36" i="35" s="1"/>
  <c r="T42" i="35" s="1"/>
  <c r="T20" i="35"/>
  <c r="V21" i="35"/>
  <c r="T21" i="35"/>
  <c r="V22" i="35"/>
  <c r="T22" i="35"/>
  <c r="V23" i="35"/>
  <c r="T23" i="35"/>
  <c r="V24" i="35"/>
  <c r="T24" i="35"/>
  <c r="V25" i="35"/>
  <c r="T25" i="35"/>
  <c r="T26" i="35"/>
  <c r="V27" i="35"/>
  <c r="T27" i="35"/>
  <c r="V28" i="35"/>
  <c r="T28" i="35"/>
  <c r="V29" i="35"/>
  <c r="T29" i="35"/>
  <c r="T30" i="35"/>
  <c r="T31" i="35"/>
  <c r="T32" i="35"/>
  <c r="U48" i="35"/>
  <c r="T49" i="35"/>
  <c r="T65" i="35" s="1"/>
  <c r="U49" i="35"/>
  <c r="T50" i="35"/>
  <c r="U50" i="35" s="1"/>
  <c r="T51" i="35"/>
  <c r="U51" i="35"/>
  <c r="T52" i="35"/>
  <c r="U52" i="35"/>
  <c r="T53" i="35"/>
  <c r="U53" i="35"/>
  <c r="U54" i="35"/>
  <c r="U55" i="35"/>
  <c r="U56" i="35"/>
  <c r="U57" i="35"/>
  <c r="U58" i="35"/>
  <c r="U59" i="35"/>
  <c r="U60" i="35"/>
  <c r="U62" i="35"/>
  <c r="U63" i="35"/>
  <c r="D27" i="24"/>
  <c r="J11" i="28"/>
  <c r="J17" i="28" s="1"/>
  <c r="J36" i="28" s="1"/>
  <c r="I11" i="28"/>
  <c r="G11" i="28"/>
  <c r="G17" i="28" s="1"/>
  <c r="G36" i="28" s="1"/>
  <c r="F11" i="28"/>
  <c r="E11" i="28"/>
  <c r="D11" i="28"/>
  <c r="D17" i="28"/>
  <c r="E17" i="28"/>
  <c r="E36" i="28" s="1"/>
  <c r="F17" i="28"/>
  <c r="F36" i="28" s="1"/>
  <c r="I17" i="28"/>
  <c r="I36" i="28" s="1"/>
  <c r="J32" i="28"/>
  <c r="J34" i="28"/>
  <c r="I34" i="28"/>
  <c r="G34" i="28"/>
  <c r="E34" i="28"/>
  <c r="F34" i="28"/>
  <c r="D34" i="28"/>
  <c r="D36" i="28"/>
  <c r="F11" i="24"/>
  <c r="D92" i="35"/>
  <c r="D44" i="35"/>
  <c r="H22" i="26"/>
  <c r="H48" i="26"/>
  <c r="D88" i="35"/>
  <c r="D72" i="35"/>
  <c r="E110" i="35"/>
  <c r="D110" i="35"/>
  <c r="G22" i="26"/>
  <c r="I22" i="26"/>
  <c r="I48" i="26"/>
  <c r="E11" i="24"/>
  <c r="U65" i="35" l="1"/>
  <c r="J22" i="26"/>
  <c r="F48" i="26"/>
  <c r="K36" i="28"/>
</calcChain>
</file>

<file path=xl/sharedStrings.xml><?xml version="1.0" encoding="utf-8"?>
<sst xmlns="http://schemas.openxmlformats.org/spreadsheetml/2006/main" count="534" uniqueCount="293">
  <si>
    <t>Revenue</t>
  </si>
  <si>
    <t>Total</t>
  </si>
  <si>
    <t xml:space="preserve"> </t>
  </si>
  <si>
    <t>Actual</t>
  </si>
  <si>
    <t>Other equity</t>
  </si>
  <si>
    <t>Public duties payable</t>
  </si>
  <si>
    <t>Travel and accomodation</t>
  </si>
  <si>
    <t>Office expenses</t>
  </si>
  <si>
    <t>Implementation</t>
  </si>
  <si>
    <t>Outreach</t>
  </si>
  <si>
    <t>Communications</t>
  </si>
  <si>
    <t>Training</t>
  </si>
  <si>
    <t>Validation</t>
  </si>
  <si>
    <t>Government of Canada</t>
  </si>
  <si>
    <t>Investors</t>
  </si>
  <si>
    <t>Oil and Gas</t>
  </si>
  <si>
    <t>Mining and Minerals</t>
  </si>
  <si>
    <t>Centerra Gold Inc.</t>
  </si>
  <si>
    <t>Eramet</t>
  </si>
  <si>
    <t>Hudbay Minerals Inc.</t>
  </si>
  <si>
    <t>ICMM</t>
  </si>
  <si>
    <t>Oil Search PNG</t>
  </si>
  <si>
    <t>Petroleus Mexicanos</t>
  </si>
  <si>
    <t>in %</t>
  </si>
  <si>
    <t>Supporting countries and IDA's</t>
  </si>
  <si>
    <t>Non-extractives</t>
  </si>
  <si>
    <t>Financial Income</t>
  </si>
  <si>
    <t>Total Revenues</t>
  </si>
  <si>
    <t>Costs</t>
  </si>
  <si>
    <t>Board meetings</t>
  </si>
  <si>
    <t>Chair's support</t>
  </si>
  <si>
    <t>Project consultants</t>
  </si>
  <si>
    <t>Salary</t>
  </si>
  <si>
    <t>Other staff expenses</t>
  </si>
  <si>
    <t>Conference</t>
  </si>
  <si>
    <t>Net result</t>
  </si>
  <si>
    <t>Costs by function</t>
  </si>
  <si>
    <t>Costs by type</t>
  </si>
  <si>
    <t>(incl. currency translation)</t>
  </si>
  <si>
    <t>closing rate NOK/USD</t>
  </si>
  <si>
    <t>Net financial revenue</t>
  </si>
  <si>
    <t>Expenditure</t>
  </si>
  <si>
    <t>Main figures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</si>
  <si>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</si>
  <si>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Budget</t>
  </si>
  <si>
    <t>Variance</t>
  </si>
  <si>
    <t>Net interest income</t>
  </si>
  <si>
    <t>Stakeholder rel./Int. advocacy</t>
  </si>
  <si>
    <t>Management &amp; Admin</t>
  </si>
  <si>
    <t>Translation &amp; Interpretation</t>
  </si>
  <si>
    <t>Other expenses</t>
  </si>
  <si>
    <t>Total Expenditure</t>
  </si>
  <si>
    <t>Result Report</t>
  </si>
  <si>
    <t>Balance Sheet Report</t>
  </si>
  <si>
    <t>Office equipment, machinery, etc</t>
  </si>
  <si>
    <t>Total fixed assets</t>
  </si>
  <si>
    <t>ASSETS</t>
  </si>
  <si>
    <t>Total receivables</t>
  </si>
  <si>
    <t>Total current assets</t>
  </si>
  <si>
    <t>Total Assets</t>
  </si>
  <si>
    <t>Bank deposits, cash</t>
  </si>
  <si>
    <t>EQUITY AND LIABILITIES</t>
  </si>
  <si>
    <t>Total equity</t>
  </si>
  <si>
    <t>Total current liabilites</t>
  </si>
  <si>
    <t>Total Equity and Liabiliites</t>
  </si>
  <si>
    <t>This periods result</t>
  </si>
  <si>
    <t>Currency translation</t>
  </si>
  <si>
    <t>Other short term liabilities</t>
  </si>
  <si>
    <t>Equity end of period.</t>
  </si>
  <si>
    <t>Bank balance at end of period (including reserve)</t>
  </si>
  <si>
    <t>Name</t>
  </si>
  <si>
    <t xml:space="preserve">Amount paid </t>
  </si>
  <si>
    <t>Amount received in NOK</t>
  </si>
  <si>
    <t>Amount received in USD</t>
  </si>
  <si>
    <t>Governments, Civil Society &amp; International Dev. Agencies</t>
  </si>
  <si>
    <t>DKK 2 000 000</t>
  </si>
  <si>
    <t>Government of Switzerland (SECO)</t>
  </si>
  <si>
    <t>CHF 200 000</t>
  </si>
  <si>
    <t>Institutional Investors</t>
  </si>
  <si>
    <t>Companies</t>
  </si>
  <si>
    <t>Oil &amp; Gas</t>
  </si>
  <si>
    <t>Mineral &amp; Mining</t>
  </si>
  <si>
    <t>Non-extractive companies</t>
  </si>
  <si>
    <t>Total revenue for specific projects</t>
  </si>
  <si>
    <t>Amount in Currency</t>
  </si>
  <si>
    <t>Base Titanium Ltd</t>
  </si>
  <si>
    <t>USD 20 000</t>
  </si>
  <si>
    <t>USD 60 000</t>
  </si>
  <si>
    <t>USD 40 000</t>
  </si>
  <si>
    <t>World Bank (Validation)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</si>
  <si>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</si>
  <si>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Total Costs by type</t>
  </si>
  <si>
    <t>Total Costs by function</t>
  </si>
  <si>
    <t>Accounts receivable</t>
  </si>
  <si>
    <t>Other receivables</t>
  </si>
  <si>
    <t>Accounts payable</t>
  </si>
  <si>
    <t>SEK 2 500 000</t>
  </si>
  <si>
    <t>Eni Spa</t>
  </si>
  <si>
    <t>Dundee Precious Metals</t>
  </si>
  <si>
    <t>Woodside Energy</t>
  </si>
  <si>
    <t>Reserve at end of period</t>
  </si>
  <si>
    <t>-</t>
  </si>
  <si>
    <t>EITI Reporting - Revenue 2010-2014</t>
  </si>
  <si>
    <t>Funding</t>
  </si>
  <si>
    <t>USD 50 000</t>
  </si>
  <si>
    <t>USD 25 000</t>
  </si>
  <si>
    <t>Arcelor Mittal</t>
  </si>
  <si>
    <t>Kinross Gold</t>
  </si>
  <si>
    <t>USD 15 000</t>
  </si>
  <si>
    <t>Advanced Metallurgical Group (AMG)</t>
  </si>
  <si>
    <t>Year 2016</t>
  </si>
  <si>
    <t>in USD</t>
  </si>
  <si>
    <t>EUR 375 000</t>
  </si>
  <si>
    <t>USD 500 000</t>
  </si>
  <si>
    <t>Petrobras</t>
  </si>
  <si>
    <t>GBP 330 000</t>
  </si>
  <si>
    <t>Private sector</t>
  </si>
  <si>
    <t>EITI Financial Report 2016</t>
  </si>
  <si>
    <t>Newcrest Mining</t>
  </si>
  <si>
    <t>USD 10 000</t>
  </si>
  <si>
    <t>Philia</t>
  </si>
  <si>
    <t xml:space="preserve"> As per Q3</t>
  </si>
  <si>
    <t>Global conference</t>
  </si>
  <si>
    <t>Government of France</t>
  </si>
  <si>
    <t>Government of Germany</t>
  </si>
  <si>
    <t>Hess Corp.</t>
  </si>
  <si>
    <t>Staatsolie Surinam</t>
  </si>
  <si>
    <t>Government of Netherlands</t>
  </si>
  <si>
    <t xml:space="preserve"> USD 150 000</t>
  </si>
  <si>
    <t>Government of Sweden</t>
  </si>
  <si>
    <t xml:space="preserve">DFID - UK </t>
  </si>
  <si>
    <t>DFID - UK (Beneficial ownership)</t>
  </si>
  <si>
    <t>GBP 143 500</t>
  </si>
  <si>
    <t>European Commission</t>
  </si>
  <si>
    <t>Government of Belgium (Francophone training)</t>
  </si>
  <si>
    <t xml:space="preserve"> USD 170 000</t>
  </si>
  <si>
    <t>World Bank (Validation) (Grant given)</t>
  </si>
  <si>
    <t>World Bank (Mainstreaming) (Grant given)</t>
  </si>
  <si>
    <t>Government of Norway (tbc)</t>
  </si>
  <si>
    <t>EUR 183 000</t>
  </si>
  <si>
    <t>Government of Switzerland (SECO) tbc</t>
  </si>
  <si>
    <t>Government of Denmark (tbc)</t>
  </si>
  <si>
    <t>Government of Finland (tbc)</t>
  </si>
  <si>
    <t>CHF 250 000</t>
  </si>
  <si>
    <t>Government of Switzerland  SECO (Commodity Trading)</t>
  </si>
  <si>
    <t>Amount in USD</t>
  </si>
  <si>
    <t>EUR 190 000</t>
  </si>
  <si>
    <t>end 2017</t>
  </si>
  <si>
    <t>end 2018</t>
  </si>
  <si>
    <t>end 2019</t>
  </si>
  <si>
    <t>Term</t>
  </si>
  <si>
    <t>CAD 40 000</t>
  </si>
  <si>
    <t>Government of Canada (tbc)</t>
  </si>
  <si>
    <t>EUR 200 000</t>
  </si>
  <si>
    <t>EUR 250 000</t>
  </si>
  <si>
    <t>EBRD - uncertain figure for core funding..</t>
  </si>
  <si>
    <t>EUR 150 000</t>
  </si>
  <si>
    <t>Implementing countries</t>
  </si>
  <si>
    <t>Private funding 2016 used as forecast for 2017</t>
  </si>
  <si>
    <t>EITI REVENUE forecast 2017</t>
  </si>
  <si>
    <t>Forecast 2017 in USD</t>
  </si>
  <si>
    <t>US Government (tbc)</t>
  </si>
  <si>
    <t>Actual-2016</t>
  </si>
  <si>
    <t>GBP 48 000</t>
  </si>
  <si>
    <t>Kfw</t>
  </si>
  <si>
    <t>USD 15.000</t>
  </si>
  <si>
    <t>Sherrit Finance Ltd</t>
  </si>
  <si>
    <t>Lundin Petroleum</t>
  </si>
  <si>
    <t>USD 40.000</t>
  </si>
  <si>
    <t>Base Titanium</t>
  </si>
  <si>
    <t>CHF 187 500</t>
  </si>
  <si>
    <t>Q1 2017 in USD</t>
  </si>
  <si>
    <t>EITI REVENUE Q1 2017 - received</t>
  </si>
  <si>
    <t>EUR 281 251</t>
  </si>
  <si>
    <t>Timor Leste</t>
  </si>
  <si>
    <t>USD 25.000</t>
  </si>
  <si>
    <t>DFID - UK (Commodity Trading)</t>
  </si>
  <si>
    <t>World Bank (Validation + Mainstreaming)</t>
  </si>
  <si>
    <t>USD 70 000</t>
  </si>
  <si>
    <t>Inpex Corp.</t>
  </si>
  <si>
    <t>USD 60.000</t>
  </si>
  <si>
    <t>Trafigura</t>
  </si>
  <si>
    <t>Government of Australia</t>
  </si>
  <si>
    <t>AUS 350 000</t>
  </si>
  <si>
    <t>Galp Energia</t>
  </si>
  <si>
    <t>USD 10.000</t>
  </si>
  <si>
    <t>NOK 3 200 000</t>
  </si>
  <si>
    <t>GBP 245 000</t>
  </si>
  <si>
    <t>Q1 2017</t>
  </si>
  <si>
    <t>Centerra Gold</t>
  </si>
  <si>
    <t>Management &amp; Admin.</t>
  </si>
  <si>
    <t>Supporting countries and international development agencies</t>
  </si>
  <si>
    <t>Oil &amp; Gas companies</t>
  </si>
  <si>
    <t>Mineral and Mining companies</t>
  </si>
  <si>
    <t>Mineral and mining companies</t>
  </si>
  <si>
    <t>Expenditures by function</t>
  </si>
  <si>
    <t>Implementation   </t>
  </si>
  <si>
    <t>Outreach </t>
  </si>
  <si>
    <t>Board meetings     </t>
  </si>
  <si>
    <t>Chair    </t>
  </si>
  <si>
    <t>Training   </t>
  </si>
  <si>
    <t>Stakeholder relations/international advocacy   </t>
  </si>
  <si>
    <t>Office and administration   </t>
  </si>
  <si>
    <t>Validation   </t>
  </si>
  <si>
    <t>Expenditures by type</t>
  </si>
  <si>
    <t>Salaries/other staff costs     </t>
  </si>
  <si>
    <t>Office/other costs </t>
  </si>
  <si>
    <t>Project consultants </t>
  </si>
  <si>
    <t>average  exchange rate NOK/USD</t>
  </si>
  <si>
    <t>Expenditures</t>
  </si>
  <si>
    <t>in USD thousands</t>
  </si>
  <si>
    <t>Exchange rate</t>
  </si>
  <si>
    <t>Travel/ accommodation</t>
  </si>
  <si>
    <t>Translation/ interpretation</t>
  </si>
  <si>
    <t>Total revenue (includes project-specific funding)</t>
  </si>
  <si>
    <t>Equity 01.01.</t>
  </si>
  <si>
    <t>Sherritt Int Finance Ltd</t>
  </si>
  <si>
    <t>Sources of revenues 2017</t>
  </si>
  <si>
    <t>EITI Financial Report 2017</t>
  </si>
  <si>
    <t>Budget 2017</t>
  </si>
  <si>
    <t>Actual-2017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</si>
  <si>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</si>
  <si>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donors, NGO's and foundations</t>
  </si>
  <si>
    <t>vs 2017</t>
  </si>
  <si>
    <t>Year 2017</t>
  </si>
  <si>
    <t>International development partners, including</t>
  </si>
  <si>
    <t>NGO's and foundations</t>
  </si>
  <si>
    <t>International development partners including donors, NGO's and foundations</t>
  </si>
  <si>
    <t>Government of Australia(217-2018)</t>
  </si>
  <si>
    <t>AUD 350 000</t>
  </si>
  <si>
    <t>Government of Belgium (2017-2020)</t>
  </si>
  <si>
    <t>EUR 100 000</t>
  </si>
  <si>
    <t>Government of Belgium (repayment project funding 2016)</t>
  </si>
  <si>
    <t>EUR 79 710</t>
  </si>
  <si>
    <t>CAD 132 000</t>
  </si>
  <si>
    <t>Government of Denmark (2017-2018)</t>
  </si>
  <si>
    <t>Government of Denmark(Beneficial Ownership)</t>
  </si>
  <si>
    <t>DKK 1 000 000</t>
  </si>
  <si>
    <t>European Commission (2016-2018)</t>
  </si>
  <si>
    <t>EUR 281 250</t>
  </si>
  <si>
    <t>Government of Finland (2017-2019)</t>
  </si>
  <si>
    <t>EUR 183 333</t>
  </si>
  <si>
    <t>EUR 60 000</t>
  </si>
  <si>
    <t>Government of Germany (2017-2018)</t>
  </si>
  <si>
    <t>Government of the Netherlands (2017-2020)</t>
  </si>
  <si>
    <t>USD 250 000</t>
  </si>
  <si>
    <t>Government of Norway (2017-2019)</t>
  </si>
  <si>
    <t>Government of Switzerland (SECO - Commodity trading)</t>
  </si>
  <si>
    <t>DFID - UK</t>
  </si>
  <si>
    <t>GBP 150 000</t>
  </si>
  <si>
    <t>GBP 75 000</t>
  </si>
  <si>
    <t>DFID - UK (Beneficial ownership Conference)</t>
  </si>
  <si>
    <t>GBP 140 000</t>
  </si>
  <si>
    <t>World Bank (Mainstreaming)</t>
  </si>
  <si>
    <t>World Bank (Training)</t>
  </si>
  <si>
    <t xml:space="preserve"> USD 350 000</t>
  </si>
  <si>
    <t xml:space="preserve"> USD 190 000</t>
  </si>
  <si>
    <t>International Development Partners &amp; IFI's, including donors, NGO's and Foundations</t>
  </si>
  <si>
    <t>Financial Institutions</t>
  </si>
  <si>
    <t>Førsta AP Fonden</t>
  </si>
  <si>
    <t>USD 9 950</t>
  </si>
  <si>
    <t>Nordea AB</t>
  </si>
  <si>
    <t>BP International</t>
  </si>
  <si>
    <t>Cairn</t>
  </si>
  <si>
    <t>Chevron</t>
  </si>
  <si>
    <t>Conoco Phillips</t>
  </si>
  <si>
    <t>Exxon Mobile</t>
  </si>
  <si>
    <t>Far Ltd</t>
  </si>
  <si>
    <t>Kosmos Energy (received in 2016)</t>
  </si>
  <si>
    <t>Noble Energy</t>
  </si>
  <si>
    <t>Shell International</t>
  </si>
  <si>
    <t>Shell International (Beneficial Ownership Conf. 2017)</t>
  </si>
  <si>
    <t>Statoil</t>
  </si>
  <si>
    <t>Tullow</t>
  </si>
  <si>
    <t>Freeport (Beneficial Ownership Conference 2017)</t>
  </si>
  <si>
    <t>Southern Peru Copper</t>
  </si>
  <si>
    <t>Vale</t>
  </si>
  <si>
    <t>KFW Bankengruppe (received in 2016)</t>
  </si>
  <si>
    <t>Volkswagen AG (receivedin in 2018)</t>
  </si>
  <si>
    <t>Project-specific funding - 2017, included in the above figures</t>
  </si>
  <si>
    <t>DFID - UK (Beneficial ownership conference 2017)</t>
  </si>
  <si>
    <t>Freeport (Beneficial Ownership)</t>
  </si>
  <si>
    <t>Shell (Beneficial Ownership conference 2017)</t>
  </si>
  <si>
    <t>USD 160 000</t>
  </si>
  <si>
    <t>Government of Côte d'Ivoire</t>
  </si>
  <si>
    <t>Government of Guinea</t>
  </si>
  <si>
    <t>Government of Malawi</t>
  </si>
  <si>
    <t>Government of Mongolia</t>
  </si>
  <si>
    <t>Government of Papua New Guinea</t>
  </si>
  <si>
    <t>Government of Tajikistan</t>
  </si>
  <si>
    <t>Government of Timor Leste</t>
  </si>
  <si>
    <t>Government of Chad</t>
  </si>
  <si>
    <t>Government of 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</si>
</sst>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10" fillId="0" borderId="0" applyFont="0" applyFill="0" applyBorder="0" applyAlignment="0" applyProtection="0">
      <alignment horizontal="right"/>
    </xf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177" fontId="10" fillId="0" borderId="0" applyFont="0" applyFill="0" applyBorder="0" applyAlignment="0" applyProtection="0">
      <alignment horizontal="right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2" fillId="0" borderId="0" applyFill="0" applyBorder="0" applyProtection="0">
      <alignment horizontal="left"/>
    </xf>
    <xf numFmtId="184" fontId="10" fillId="0" borderId="0" applyFont="0" applyFill="0" applyBorder="0" applyAlignment="0" applyProtection="0">
      <alignment horizontal="right"/>
    </xf>
    <xf numFmtId="0" fontId="13" fillId="0" borderId="0" applyProtection="0">
      <alignment horizontal="right"/>
    </xf>
    <xf numFmtId="185" fontId="10" fillId="0" borderId="0" applyFont="0" applyFill="0" applyBorder="0" applyAlignment="0" applyProtection="0">
      <alignment horizontal="right"/>
    </xf>
    <xf numFmtId="186" fontId="10" fillId="0" borderId="0" applyFont="0" applyFill="0" applyBorder="0" applyAlignment="0" applyProtection="0">
      <alignment horizontal="right"/>
    </xf>
    <xf numFmtId="0" fontId="1" fillId="0" borderId="0"/>
    <xf numFmtId="0" fontId="5" fillId="0" borderId="0"/>
    <xf numFmtId="0" fontId="1" fillId="0" borderId="0"/>
    <xf numFmtId="0" fontId="1" fillId="5" borderId="4" applyNumberFormat="0" applyFont="0" applyAlignment="0" applyProtection="0"/>
    <xf numFmtId="1" fontId="14" fillId="0" borderId="0" applyProtection="0">
      <alignment horizontal="right" vertical="center"/>
    </xf>
    <xf numFmtId="187" fontId="11" fillId="0" borderId="0" applyFont="0" applyFill="0" applyBorder="0" applyAlignment="0" applyProtection="0"/>
    <xf numFmtId="0" fontId="15" fillId="0" borderId="0" applyBorder="0" applyProtection="0">
      <alignment vertical="center"/>
    </xf>
    <xf numFmtId="183" fontId="15" fillId="0" borderId="1" applyBorder="0" applyProtection="0">
      <alignment horizontal="right" vertical="center"/>
    </xf>
    <xf numFmtId="0" fontId="16" fillId="6" borderId="0" applyBorder="0" applyProtection="0">
      <alignment horizontal="centerContinuous" vertical="center"/>
    </xf>
    <xf numFmtId="0" fontId="16" fillId="7" borderId="1" applyBorder="0" applyProtection="0">
      <alignment horizontal="centerContinuous" vertical="center"/>
    </xf>
    <xf numFmtId="0" fontId="17" fillId="0" borderId="0" applyFill="0" applyBorder="0" applyProtection="0">
      <alignment horizontal="left"/>
    </xf>
    <xf numFmtId="0" fontId="12" fillId="0" borderId="5" applyFill="0" applyBorder="0" applyProtection="0">
      <alignment horizontal="left" vertical="top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Fill="1"/>
    <xf numFmtId="0" fontId="6" fillId="0" borderId="0" xfId="0" applyFont="1"/>
    <xf numFmtId="0" fontId="1" fillId="0" borderId="0" xfId="5" applyFont="1" applyFill="1"/>
    <xf numFmtId="168" fontId="0" fillId="0" borderId="0" xfId="0" applyNumberFormat="1"/>
    <xf numFmtId="168" fontId="6" fillId="0" borderId="0" xfId="0" applyNumberFormat="1" applyFont="1"/>
    <xf numFmtId="168" fontId="0" fillId="0" borderId="0" xfId="0" applyNumberFormat="1" applyFill="1"/>
    <xf numFmtId="0" fontId="0" fillId="2" borderId="0" xfId="0" applyFill="1"/>
    <xf numFmtId="43" fontId="5" fillId="0" borderId="0" xfId="1" applyFont="1"/>
    <xf numFmtId="168" fontId="0" fillId="2" borderId="0" xfId="0" applyNumberFormat="1" applyFill="1"/>
    <xf numFmtId="168" fontId="6" fillId="2" borderId="0" xfId="0" applyNumberFormat="1" applyFont="1" applyFill="1"/>
    <xf numFmtId="0" fontId="6" fillId="0" borderId="0" xfId="0" applyFont="1" applyFill="1"/>
    <xf numFmtId="0" fontId="2" fillId="0" borderId="0" xfId="5" applyFont="1" applyFill="1"/>
    <xf numFmtId="168" fontId="0" fillId="0" borderId="0" xfId="0" applyNumberFormat="1" applyAlignment="1">
      <alignment wrapText="1"/>
    </xf>
    <xf numFmtId="168" fontId="18" fillId="0" borderId="0" xfId="0" applyNumberFormat="1" applyFont="1"/>
    <xf numFmtId="0" fontId="18" fillId="0" borderId="0" xfId="0" applyFont="1" applyFill="1"/>
    <xf numFmtId="0" fontId="18" fillId="0" borderId="10" xfId="0" applyFont="1" applyFill="1" applyBorder="1"/>
    <xf numFmtId="0" fontId="22" fillId="2" borderId="10" xfId="0" applyFont="1" applyFill="1" applyBorder="1"/>
    <xf numFmtId="0" fontId="18" fillId="2" borderId="10" xfId="0" applyFont="1" applyFill="1" applyBorder="1"/>
    <xf numFmtId="0" fontId="21" fillId="0" borderId="0" xfId="5" applyFont="1" applyFill="1"/>
    <xf numFmtId="0" fontId="18" fillId="0" borderId="0" xfId="0" applyFont="1"/>
    <xf numFmtId="0" fontId="25" fillId="0" borderId="0" xfId="0" applyFont="1" applyFill="1"/>
    <xf numFmtId="0" fontId="23" fillId="0" borderId="0" xfId="5" applyFont="1" applyFill="1"/>
    <xf numFmtId="3" fontId="21" fillId="0" borderId="0" xfId="5" applyNumberFormat="1" applyFont="1" applyFill="1" applyBorder="1" applyAlignment="1">
      <alignment horizontal="center"/>
    </xf>
    <xf numFmtId="168" fontId="21" fillId="0" borderId="0" xfId="8" applyNumberFormat="1" applyFont="1" applyFill="1" applyAlignment="1">
      <alignment horizontal="right"/>
    </xf>
    <xf numFmtId="168" fontId="21" fillId="0" borderId="18" xfId="8" applyNumberFormat="1" applyFont="1" applyFill="1" applyBorder="1" applyAlignment="1">
      <alignment horizontal="right"/>
    </xf>
    <xf numFmtId="168" fontId="18" fillId="2" borderId="10" xfId="0" applyNumberFormat="1" applyFont="1" applyFill="1" applyBorder="1"/>
    <xf numFmtId="168" fontId="19" fillId="0" borderId="0" xfId="0" applyNumberFormat="1" applyFont="1" applyAlignment="1">
      <alignment horizontal="right"/>
    </xf>
    <xf numFmtId="168" fontId="19" fillId="0" borderId="18" xfId="0" applyNumberFormat="1" applyFont="1" applyBorder="1" applyAlignment="1">
      <alignment horizontal="right"/>
    </xf>
    <xf numFmtId="168" fontId="18" fillId="0" borderId="0" xfId="0" applyNumberFormat="1" applyFont="1" applyAlignment="1">
      <alignment horizontal="right"/>
    </xf>
    <xf numFmtId="168" fontId="18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6" fillId="2" borderId="0" xfId="0" applyFont="1" applyFill="1"/>
    <xf numFmtId="0" fontId="21" fillId="2" borderId="0" xfId="5" applyFont="1" applyFill="1"/>
    <xf numFmtId="0" fontId="18" fillId="2" borderId="0" xfId="0" applyFont="1" applyFill="1"/>
    <xf numFmtId="0" fontId="1" fillId="2" borderId="0" xfId="5" applyFont="1" applyFill="1"/>
    <xf numFmtId="168" fontId="18" fillId="2" borderId="0" xfId="0" applyNumberFormat="1" applyFont="1" applyFill="1"/>
    <xf numFmtId="0" fontId="28" fillId="0" borderId="22" xfId="0" applyFont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188" fontId="0" fillId="2" borderId="0" xfId="0" applyNumberFormat="1" applyFill="1" applyBorder="1"/>
    <xf numFmtId="164" fontId="0" fillId="2" borderId="0" xfId="1" applyNumberFormat="1" applyFont="1" applyFill="1"/>
    <xf numFmtId="168" fontId="4" fillId="2" borderId="0" xfId="8" applyNumberFormat="1" applyFont="1" applyFill="1" applyAlignment="1"/>
    <xf numFmtId="0" fontId="31" fillId="2" borderId="10" xfId="0" applyFont="1" applyFill="1" applyBorder="1"/>
    <xf numFmtId="3" fontId="4" fillId="2" borderId="0" xfId="5" applyNumberFormat="1" applyFont="1" applyFill="1" applyBorder="1" applyAlignment="1">
      <alignment horizontal="center"/>
    </xf>
    <xf numFmtId="0" fontId="7" fillId="2" borderId="10" xfId="0" applyFont="1" applyFill="1" applyBorder="1"/>
    <xf numFmtId="168" fontId="7" fillId="2" borderId="10" xfId="0" applyNumberFormat="1" applyFont="1" applyFill="1" applyBorder="1"/>
    <xf numFmtId="168" fontId="33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0" fontId="34" fillId="2" borderId="0" xfId="0" applyFont="1" applyFill="1"/>
    <xf numFmtId="0" fontId="7" fillId="2" borderId="0" xfId="0" applyFont="1" applyFill="1"/>
    <xf numFmtId="43" fontId="20" fillId="2" borderId="21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9" fontId="9" fillId="0" borderId="0" xfId="50" applyFont="1" applyAlignment="1">
      <alignment horizontal="right"/>
    </xf>
    <xf numFmtId="0" fontId="0" fillId="0" borderId="0" xfId="0"/>
    <xf numFmtId="188" fontId="0" fillId="2" borderId="0" xfId="0" applyNumberFormat="1" applyFill="1"/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168" fontId="18" fillId="0" borderId="0" xfId="0" applyNumberFormat="1" applyFont="1" applyBorder="1"/>
    <xf numFmtId="168" fontId="18" fillId="0" borderId="0" xfId="0" applyNumberFormat="1" applyFont="1" applyBorder="1" applyAlignment="1">
      <alignment horizontal="right"/>
    </xf>
    <xf numFmtId="168" fontId="19" fillId="0" borderId="0" xfId="0" applyNumberFormat="1" applyFont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0" fontId="27" fillId="4" borderId="14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0" fillId="2" borderId="24" xfId="0" applyFill="1" applyBorder="1"/>
    <xf numFmtId="167" fontId="0" fillId="2" borderId="25" xfId="0" applyNumberFormat="1" applyFill="1" applyBorder="1"/>
    <xf numFmtId="0" fontId="27" fillId="8" borderId="6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7" fontId="0" fillId="3" borderId="6" xfId="1" applyNumberFormat="1" applyFont="1" applyFill="1" applyBorder="1"/>
    <xf numFmtId="167" fontId="0" fillId="0" borderId="6" xfId="1" applyNumberFormat="1" applyFont="1" applyFill="1" applyBorder="1"/>
    <xf numFmtId="0" fontId="0" fillId="2" borderId="11" xfId="0" applyFill="1" applyBorder="1"/>
    <xf numFmtId="167" fontId="0" fillId="2" borderId="12" xfId="0" applyNumberFormat="1" applyFill="1" applyBorder="1"/>
    <xf numFmtId="0" fontId="37" fillId="2" borderId="10" xfId="0" applyFont="1" applyFill="1" applyBorder="1"/>
    <xf numFmtId="0" fontId="37" fillId="2" borderId="0" xfId="0" applyFont="1" applyFill="1" applyBorder="1"/>
    <xf numFmtId="167" fontId="37" fillId="2" borderId="0" xfId="1" applyNumberFormat="1" applyFont="1" applyFill="1" applyBorder="1"/>
    <xf numFmtId="0" fontId="6" fillId="2" borderId="15" xfId="0" applyFont="1" applyFill="1" applyBorder="1"/>
    <xf numFmtId="0" fontId="0" fillId="2" borderId="21" xfId="0" applyFill="1" applyBorder="1"/>
    <xf numFmtId="167" fontId="6" fillId="2" borderId="21" xfId="0" applyNumberFormat="1" applyFont="1" applyFill="1" applyBorder="1"/>
    <xf numFmtId="0" fontId="37" fillId="2" borderId="26" xfId="0" applyFont="1" applyFill="1" applyBorder="1"/>
    <xf numFmtId="0" fontId="0" fillId="2" borderId="1" xfId="0" applyFill="1" applyBorder="1"/>
    <xf numFmtId="167" fontId="37" fillId="2" borderId="1" xfId="1" applyNumberFormat="1" applyFont="1" applyFill="1" applyBorder="1"/>
    <xf numFmtId="167" fontId="6" fillId="2" borderId="16" xfId="0" applyNumberFormat="1" applyFont="1" applyFill="1" applyBorder="1"/>
    <xf numFmtId="168" fontId="21" fillId="0" borderId="10" xfId="8" applyNumberFormat="1" applyFont="1" applyFill="1" applyBorder="1" applyAlignment="1">
      <alignment horizontal="right"/>
    </xf>
    <xf numFmtId="168" fontId="19" fillId="0" borderId="10" xfId="0" applyNumberFormat="1" applyFont="1" applyBorder="1" applyAlignment="1">
      <alignment horizontal="right"/>
    </xf>
    <xf numFmtId="168" fontId="18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9" fontId="0" fillId="2" borderId="0" xfId="50" applyFont="1" applyFill="1"/>
    <xf numFmtId="9" fontId="0" fillId="2" borderId="0" xfId="50" applyFont="1" applyFill="1" applyBorder="1"/>
    <xf numFmtId="1" fontId="21" fillId="0" borderId="0" xfId="5" applyNumberFormat="1" applyFont="1" applyFill="1" applyBorder="1" applyAlignment="1">
      <alignment horizontal="center"/>
    </xf>
    <xf numFmtId="1" fontId="21" fillId="0" borderId="0" xfId="5" applyNumberFormat="1" applyFont="1" applyFill="1" applyBorder="1" applyAlignment="1">
      <alignment horizontal="right"/>
    </xf>
    <xf numFmtId="1" fontId="0" fillId="2" borderId="0" xfId="0" applyNumberFormat="1" applyFill="1" applyBorder="1"/>
    <xf numFmtId="0" fontId="30" fillId="0" borderId="0" xfId="0" applyFont="1"/>
    <xf numFmtId="0" fontId="41" fillId="0" borderId="0" xfId="0" applyFont="1"/>
    <xf numFmtId="0" fontId="42" fillId="0" borderId="0" xfId="5" applyFont="1" applyFill="1"/>
    <xf numFmtId="0" fontId="41" fillId="0" borderId="0" xfId="0" applyFont="1" applyFill="1"/>
    <xf numFmtId="43" fontId="30" fillId="0" borderId="0" xfId="1" applyFont="1"/>
    <xf numFmtId="0" fontId="45" fillId="2" borderId="10" xfId="0" applyFont="1" applyFill="1" applyBorder="1"/>
    <xf numFmtId="168" fontId="41" fillId="0" borderId="0" xfId="0" applyNumberFormat="1" applyFont="1"/>
    <xf numFmtId="43" fontId="46" fillId="0" borderId="9" xfId="1" applyFont="1" applyBorder="1" applyAlignment="1">
      <alignment horizontal="right"/>
    </xf>
    <xf numFmtId="0" fontId="47" fillId="0" borderId="0" xfId="0" applyFont="1"/>
    <xf numFmtId="0" fontId="41" fillId="2" borderId="10" xfId="0" applyFont="1" applyFill="1" applyBorder="1"/>
    <xf numFmtId="169" fontId="42" fillId="0" borderId="9" xfId="1" applyNumberFormat="1" applyFont="1" applyBorder="1"/>
    <xf numFmtId="0" fontId="25" fillId="2" borderId="10" xfId="0" applyFont="1" applyFill="1" applyBorder="1"/>
    <xf numFmtId="167" fontId="42" fillId="0" borderId="9" xfId="1" applyNumberFormat="1" applyFont="1" applyFill="1" applyBorder="1" applyAlignment="1">
      <alignment horizontal="right"/>
    </xf>
    <xf numFmtId="0" fontId="48" fillId="2" borderId="10" xfId="0" applyFont="1" applyFill="1" applyBorder="1"/>
    <xf numFmtId="167" fontId="43" fillId="0" borderId="9" xfId="1" applyNumberFormat="1" applyFont="1" applyBorder="1" applyAlignment="1">
      <alignment horizontal="right"/>
    </xf>
    <xf numFmtId="0" fontId="41" fillId="0" borderId="10" xfId="0" applyFont="1" applyFill="1" applyBorder="1"/>
    <xf numFmtId="168" fontId="41" fillId="0" borderId="9" xfId="0" applyNumberFormat="1" applyFont="1" applyBorder="1" applyAlignment="1">
      <alignment horizontal="right"/>
    </xf>
    <xf numFmtId="167" fontId="47" fillId="0" borderId="0" xfId="1" applyNumberFormat="1" applyFont="1"/>
    <xf numFmtId="0" fontId="30" fillId="0" borderId="0" xfId="0" applyFont="1" applyFill="1"/>
    <xf numFmtId="168" fontId="30" fillId="0" borderId="0" xfId="0" applyNumberFormat="1" applyFont="1"/>
    <xf numFmtId="0" fontId="50" fillId="0" borderId="0" xfId="0" applyFont="1" applyFill="1"/>
    <xf numFmtId="168" fontId="30" fillId="0" borderId="0" xfId="0" applyNumberFormat="1" applyFont="1" applyAlignment="1">
      <alignment wrapText="1"/>
    </xf>
    <xf numFmtId="0" fontId="50" fillId="0" borderId="0" xfId="0" applyFont="1" applyFill="1" applyAlignment="1">
      <alignment wrapText="1"/>
    </xf>
    <xf numFmtId="0" fontId="51" fillId="0" borderId="0" xfId="5" applyFont="1" applyFill="1"/>
    <xf numFmtId="0" fontId="52" fillId="0" borderId="0" xfId="5" applyFont="1" applyFill="1"/>
    <xf numFmtId="0" fontId="53" fillId="0" borderId="0" xfId="0" applyFont="1" applyFill="1"/>
    <xf numFmtId="168" fontId="54" fillId="0" borderId="0" xfId="0" applyNumberFormat="1" applyFont="1"/>
    <xf numFmtId="0" fontId="54" fillId="0" borderId="0" xfId="0" applyFont="1"/>
    <xf numFmtId="1" fontId="52" fillId="0" borderId="0" xfId="5" applyNumberFormat="1" applyFont="1" applyFill="1"/>
    <xf numFmtId="1" fontId="54" fillId="0" borderId="0" xfId="0" applyNumberFormat="1" applyFont="1"/>
    <xf numFmtId="0" fontId="54" fillId="0" borderId="0" xfId="0" applyFont="1" applyFill="1"/>
    <xf numFmtId="0" fontId="55" fillId="0" borderId="0" xfId="0" applyFont="1"/>
    <xf numFmtId="0" fontId="57" fillId="0" borderId="0" xfId="0" applyFont="1"/>
    <xf numFmtId="0" fontId="54" fillId="0" borderId="28" xfId="0" applyFont="1" applyBorder="1" applyAlignment="1">
      <alignment wrapText="1"/>
    </xf>
    <xf numFmtId="0" fontId="57" fillId="0" borderId="29" xfId="0" applyFont="1" applyBorder="1" applyAlignment="1">
      <alignment vertical="center" wrapText="1"/>
    </xf>
    <xf numFmtId="0" fontId="57" fillId="0" borderId="30" xfId="0" applyFont="1" applyBorder="1" applyAlignment="1">
      <alignment wrapText="1"/>
    </xf>
    <xf numFmtId="0" fontId="54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50" fillId="0" borderId="0" xfId="0" applyFont="1"/>
    <xf numFmtId="0" fontId="53" fillId="0" borderId="0" xfId="0" applyFont="1"/>
    <xf numFmtId="0" fontId="54" fillId="0" borderId="31" xfId="0" applyFont="1" applyBorder="1" applyAlignment="1">
      <alignment wrapText="1"/>
    </xf>
    <xf numFmtId="0" fontId="54" fillId="0" borderId="29" xfId="0" applyFont="1" applyFill="1" applyBorder="1" applyAlignment="1">
      <alignment wrapText="1"/>
    </xf>
    <xf numFmtId="0" fontId="54" fillId="0" borderId="29" xfId="0" applyFont="1" applyBorder="1" applyAlignment="1">
      <alignment wrapText="1"/>
    </xf>
    <xf numFmtId="0" fontId="52" fillId="0" borderId="30" xfId="5" applyFont="1" applyFill="1" applyBorder="1" applyAlignment="1">
      <alignment wrapText="1"/>
    </xf>
    <xf numFmtId="0" fontId="53" fillId="0" borderId="32" xfId="0" applyFont="1" applyFill="1" applyBorder="1"/>
    <xf numFmtId="168" fontId="53" fillId="0" borderId="32" xfId="0" applyNumberFormat="1" applyFont="1" applyBorder="1"/>
    <xf numFmtId="3" fontId="58" fillId="0" borderId="32" xfId="5" applyNumberFormat="1" applyFont="1" applyFill="1" applyBorder="1"/>
    <xf numFmtId="0" fontId="53" fillId="0" borderId="27" xfId="0" applyFont="1" applyFill="1" applyBorder="1"/>
    <xf numFmtId="168" fontId="54" fillId="0" borderId="27" xfId="0" applyNumberFormat="1" applyFont="1" applyBorder="1"/>
    <xf numFmtId="168" fontId="54" fillId="0" borderId="27" xfId="0" applyNumberFormat="1" applyFont="1" applyBorder="1" applyAlignment="1">
      <alignment horizontal="right"/>
    </xf>
    <xf numFmtId="0" fontId="43" fillId="0" borderId="8" xfId="0" applyFont="1" applyFill="1" applyBorder="1"/>
    <xf numFmtId="0" fontId="41" fillId="0" borderId="7" xfId="0" applyFont="1" applyFill="1" applyBorder="1"/>
    <xf numFmtId="0" fontId="41" fillId="0" borderId="13" xfId="0" applyFont="1" applyFill="1" applyBorder="1"/>
    <xf numFmtId="0" fontId="44" fillId="0" borderId="6" xfId="5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Border="1"/>
    <xf numFmtId="0" fontId="23" fillId="0" borderId="0" xfId="5" applyFont="1" applyFill="1" applyBorder="1" applyAlignment="1">
      <alignment horizontal="center"/>
    </xf>
    <xf numFmtId="2" fontId="6" fillId="0" borderId="0" xfId="0" applyNumberFormat="1" applyFont="1" applyFill="1" applyBorder="1"/>
    <xf numFmtId="168" fontId="0" fillId="0" borderId="0" xfId="0" applyNumberFormat="1" applyFill="1" applyBorder="1"/>
    <xf numFmtId="168" fontId="6" fillId="0" borderId="0" xfId="0" applyNumberFormat="1" applyFont="1" applyFill="1" applyBorder="1"/>
    <xf numFmtId="0" fontId="38" fillId="0" borderId="0" xfId="0" applyFont="1" applyFill="1" applyBorder="1"/>
    <xf numFmtId="1" fontId="38" fillId="0" borderId="0" xfId="0" applyNumberFormat="1" applyFont="1" applyFill="1" applyBorder="1"/>
    <xf numFmtId="0" fontId="59" fillId="0" borderId="0" xfId="0" applyFont="1"/>
    <xf numFmtId="0" fontId="56" fillId="0" borderId="0" xfId="0" applyFont="1" applyAlignment="1">
      <alignment vertical="center"/>
    </xf>
    <xf numFmtId="0" fontId="52" fillId="0" borderId="33" xfId="5" applyFont="1" applyFill="1" applyBorder="1"/>
    <xf numFmtId="0" fontId="51" fillId="0" borderId="33" xfId="5" applyFont="1" applyFill="1" applyBorder="1"/>
    <xf numFmtId="3" fontId="52" fillId="0" borderId="33" xfId="5" applyNumberFormat="1" applyFont="1" applyFill="1" applyBorder="1"/>
    <xf numFmtId="0" fontId="52" fillId="0" borderId="34" xfId="5" applyFont="1" applyFill="1" applyBorder="1"/>
    <xf numFmtId="0" fontId="51" fillId="0" borderId="34" xfId="5" applyFont="1" applyFill="1" applyBorder="1"/>
    <xf numFmtId="3" fontId="52" fillId="0" borderId="34" xfId="5" applyNumberFormat="1" applyFont="1" applyFill="1" applyBorder="1"/>
    <xf numFmtId="0" fontId="41" fillId="2" borderId="35" xfId="0" applyFont="1" applyFill="1" applyBorder="1"/>
    <xf numFmtId="168" fontId="41" fillId="0" borderId="36" xfId="0" applyNumberFormat="1" applyFont="1" applyBorder="1"/>
    <xf numFmtId="167" fontId="42" fillId="0" borderId="37" xfId="1" applyNumberFormat="1" applyFont="1" applyBorder="1"/>
    <xf numFmtId="168" fontId="41" fillId="0" borderId="33" xfId="0" applyNumberFormat="1" applyFont="1" applyBorder="1"/>
    <xf numFmtId="0" fontId="41" fillId="2" borderId="38" xfId="0" applyFont="1" applyFill="1" applyBorder="1"/>
    <xf numFmtId="167" fontId="42" fillId="0" borderId="39" xfId="1" applyNumberFormat="1" applyFont="1" applyBorder="1"/>
    <xf numFmtId="0" fontId="41" fillId="2" borderId="40" xfId="0" applyFont="1" applyFill="1" applyBorder="1"/>
    <xf numFmtId="168" fontId="41" fillId="0" borderId="41" xfId="0" applyNumberFormat="1" applyFont="1" applyBorder="1"/>
    <xf numFmtId="167" fontId="42" fillId="0" borderId="42" xfId="1" applyNumberFormat="1" applyFont="1" applyBorder="1"/>
    <xf numFmtId="0" fontId="43" fillId="0" borderId="35" xfId="0" applyFont="1" applyFill="1" applyBorder="1"/>
    <xf numFmtId="168" fontId="43" fillId="0" borderId="36" xfId="0" applyNumberFormat="1" applyFont="1" applyBorder="1"/>
    <xf numFmtId="168" fontId="46" fillId="0" borderId="36" xfId="0" applyNumberFormat="1" applyFont="1" applyBorder="1"/>
    <xf numFmtId="167" fontId="43" fillId="0" borderId="37" xfId="1" applyNumberFormat="1" applyFont="1" applyBorder="1" applyAlignment="1">
      <alignment horizontal="right"/>
    </xf>
    <xf numFmtId="0" fontId="43" fillId="0" borderId="40" xfId="0" applyFont="1" applyFill="1" applyBorder="1"/>
    <xf numFmtId="168" fontId="43" fillId="0" borderId="41" xfId="0" applyNumberFormat="1" applyFont="1" applyBorder="1"/>
    <xf numFmtId="168" fontId="46" fillId="0" borderId="41" xfId="0" applyNumberFormat="1" applyFont="1" applyBorder="1"/>
    <xf numFmtId="167" fontId="43" fillId="0" borderId="42" xfId="1" applyNumberFormat="1" applyFont="1" applyBorder="1" applyAlignment="1">
      <alignment horizontal="right"/>
    </xf>
    <xf numFmtId="0" fontId="49" fillId="0" borderId="38" xfId="0" applyFont="1" applyFill="1" applyBorder="1"/>
    <xf numFmtId="168" fontId="49" fillId="0" borderId="33" xfId="0" applyNumberFormat="1" applyFont="1" applyFill="1" applyBorder="1"/>
    <xf numFmtId="168" fontId="49" fillId="0" borderId="39" xfId="0" applyNumberFormat="1" applyFont="1" applyFill="1" applyBorder="1" applyAlignment="1">
      <alignment horizontal="right"/>
    </xf>
    <xf numFmtId="0" fontId="49" fillId="0" borderId="44" xfId="0" applyFont="1" applyFill="1" applyBorder="1"/>
    <xf numFmtId="168" fontId="49" fillId="0" borderId="45" xfId="0" applyNumberFormat="1" applyFont="1" applyFill="1" applyBorder="1"/>
    <xf numFmtId="168" fontId="49" fillId="0" borderId="43" xfId="0" applyNumberFormat="1" applyFont="1" applyFill="1" applyBorder="1" applyAlignment="1">
      <alignment horizontal="right"/>
    </xf>
    <xf numFmtId="0" fontId="54" fillId="0" borderId="46" xfId="0" applyFont="1" applyBorder="1"/>
    <xf numFmtId="188" fontId="57" fillId="0" borderId="47" xfId="0" applyNumberFormat="1" applyFont="1" applyBorder="1"/>
    <xf numFmtId="188" fontId="57" fillId="0" borderId="48" xfId="0" applyNumberFormat="1" applyFont="1" applyBorder="1"/>
    <xf numFmtId="0" fontId="54" fillId="0" borderId="49" xfId="0" applyFont="1" applyBorder="1"/>
    <xf numFmtId="188" fontId="57" fillId="0" borderId="50" xfId="0" applyNumberFormat="1" applyFont="1" applyBorder="1"/>
    <xf numFmtId="188" fontId="57" fillId="0" borderId="51" xfId="0" applyNumberFormat="1" applyFont="1" applyBorder="1"/>
    <xf numFmtId="0" fontId="18" fillId="0" borderId="0" xfId="0" applyFont="1" applyFill="1" applyBorder="1"/>
    <xf numFmtId="168" fontId="19" fillId="10" borderId="19" xfId="0" applyNumberFormat="1" applyFont="1" applyFill="1" applyBorder="1"/>
    <xf numFmtId="168" fontId="18" fillId="10" borderId="2" xfId="0" applyNumberFormat="1" applyFont="1" applyFill="1" applyBorder="1"/>
    <xf numFmtId="168" fontId="19" fillId="10" borderId="2" xfId="0" applyNumberFormat="1" applyFont="1" applyFill="1" applyBorder="1" applyAlignment="1">
      <alignment horizontal="right"/>
    </xf>
    <xf numFmtId="0" fontId="19" fillId="10" borderId="19" xfId="0" applyFont="1" applyFill="1" applyBorder="1"/>
    <xf numFmtId="0" fontId="22" fillId="2" borderId="0" xfId="0" applyFont="1" applyFill="1" applyBorder="1"/>
    <xf numFmtId="3" fontId="21" fillId="0" borderId="0" xfId="8" applyNumberFormat="1" applyFont="1" applyFill="1" applyBorder="1" applyAlignment="1">
      <alignment horizontal="center"/>
    </xf>
    <xf numFmtId="168" fontId="21" fillId="0" borderId="0" xfId="8" applyNumberFormat="1" applyFont="1" applyFill="1" applyBorder="1" applyAlignment="1">
      <alignment horizontal="right"/>
    </xf>
    <xf numFmtId="168" fontId="18" fillId="2" borderId="0" xfId="0" applyNumberFormat="1" applyFont="1" applyFill="1" applyBorder="1"/>
    <xf numFmtId="168" fontId="19" fillId="10" borderId="2" xfId="0" applyNumberFormat="1" applyFont="1" applyFill="1" applyBorder="1"/>
    <xf numFmtId="0" fontId="19" fillId="10" borderId="2" xfId="0" applyFont="1" applyFill="1" applyBorder="1"/>
    <xf numFmtId="0" fontId="18" fillId="9" borderId="0" xfId="0" applyFont="1" applyFill="1" applyBorder="1"/>
    <xf numFmtId="168" fontId="18" fillId="9" borderId="0" xfId="0" applyNumberFormat="1" applyFont="1" applyFill="1" applyBorder="1"/>
    <xf numFmtId="168" fontId="19" fillId="9" borderId="0" xfId="0" applyNumberFormat="1" applyFont="1" applyFill="1" applyBorder="1" applyAlignment="1">
      <alignment horizontal="right"/>
    </xf>
    <xf numFmtId="0" fontId="19" fillId="9" borderId="0" xfId="0" applyFont="1" applyFill="1" applyBorder="1"/>
    <xf numFmtId="0" fontId="28" fillId="0" borderId="39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right" vertical="center"/>
    </xf>
    <xf numFmtId="188" fontId="28" fillId="0" borderId="53" xfId="1" applyNumberFormat="1" applyFont="1" applyFill="1" applyBorder="1" applyAlignment="1">
      <alignment horizontal="right" vertical="center"/>
    </xf>
    <xf numFmtId="188" fontId="27" fillId="0" borderId="53" xfId="0" applyNumberFormat="1" applyFont="1" applyFill="1" applyBorder="1" applyAlignment="1">
      <alignment horizontal="right" vertical="center"/>
    </xf>
    <xf numFmtId="3" fontId="8" fillId="0" borderId="39" xfId="5" applyNumberFormat="1" applyFont="1" applyFill="1" applyBorder="1" applyAlignment="1">
      <alignment horizontal="left"/>
    </xf>
    <xf numFmtId="188" fontId="27" fillId="10" borderId="56" xfId="0" applyNumberFormat="1" applyFont="1" applyFill="1" applyBorder="1" applyAlignment="1">
      <alignment horizontal="right" vertical="center"/>
    </xf>
    <xf numFmtId="0" fontId="29" fillId="10" borderId="40" xfId="0" applyFont="1" applyFill="1" applyBorder="1" applyAlignment="1">
      <alignment horizontal="left" vertical="center" wrapText="1"/>
    </xf>
    <xf numFmtId="0" fontId="29" fillId="10" borderId="56" xfId="0" applyFont="1" applyFill="1" applyBorder="1" applyAlignment="1">
      <alignment horizontal="left" vertical="center" wrapText="1"/>
    </xf>
    <xf numFmtId="188" fontId="27" fillId="10" borderId="63" xfId="0" applyNumberFormat="1" applyFont="1" applyFill="1" applyBorder="1" applyAlignment="1">
      <alignment horizontal="right" vertical="center"/>
    </xf>
    <xf numFmtId="0" fontId="29" fillId="11" borderId="44" xfId="0" applyFont="1" applyFill="1" applyBorder="1" applyAlignment="1">
      <alignment horizontal="left" vertical="center" wrapText="1"/>
    </xf>
    <xf numFmtId="0" fontId="29" fillId="11" borderId="45" xfId="0" applyFont="1" applyFill="1" applyBorder="1" applyAlignment="1">
      <alignment horizontal="left" vertical="center" wrapText="1"/>
    </xf>
    <xf numFmtId="188" fontId="27" fillId="11" borderId="54" xfId="0" applyNumberFormat="1" applyFont="1" applyFill="1" applyBorder="1" applyAlignment="1">
      <alignment horizontal="right" vertical="center"/>
    </xf>
    <xf numFmtId="188" fontId="27" fillId="11" borderId="55" xfId="0" applyNumberFormat="1" applyFont="1" applyFill="1" applyBorder="1" applyAlignment="1">
      <alignment horizontal="right" vertical="center"/>
    </xf>
    <xf numFmtId="0" fontId="28" fillId="0" borderId="39" xfId="0" applyFont="1" applyBorder="1" applyAlignment="1">
      <alignment horizontal="left" vertical="center"/>
    </xf>
    <xf numFmtId="0" fontId="28" fillId="0" borderId="53" xfId="0" applyFont="1" applyBorder="1" applyAlignment="1">
      <alignment horizontal="right" vertical="center"/>
    </xf>
    <xf numFmtId="188" fontId="28" fillId="2" borderId="53" xfId="1" applyNumberFormat="1" applyFont="1" applyFill="1" applyBorder="1" applyAlignment="1">
      <alignment horizontal="right" vertical="center"/>
    </xf>
    <xf numFmtId="188" fontId="28" fillId="0" borderId="53" xfId="0" applyNumberFormat="1" applyFont="1" applyFill="1" applyBorder="1" applyAlignment="1">
      <alignment horizontal="right" vertical="center"/>
    </xf>
    <xf numFmtId="188" fontId="27" fillId="10" borderId="55" xfId="1" applyNumberFormat="1" applyFont="1" applyFill="1" applyBorder="1" applyAlignment="1">
      <alignment horizontal="right" vertical="center"/>
    </xf>
    <xf numFmtId="0" fontId="28" fillId="2" borderId="9" xfId="0" applyFont="1" applyFill="1" applyBorder="1" applyAlignment="1">
      <alignment horizontal="left" vertical="center"/>
    </xf>
    <xf numFmtId="0" fontId="19" fillId="9" borderId="11" xfId="0" applyFont="1" applyFill="1" applyBorder="1"/>
    <xf numFmtId="0" fontId="18" fillId="9" borderId="12" xfId="0" applyFont="1" applyFill="1" applyBorder="1"/>
    <xf numFmtId="0" fontId="23" fillId="9" borderId="8" xfId="5" applyFont="1" applyFill="1" applyBorder="1"/>
    <xf numFmtId="0" fontId="23" fillId="9" borderId="7" xfId="5" applyFont="1" applyFill="1" applyBorder="1"/>
    <xf numFmtId="0" fontId="23" fillId="9" borderId="7" xfId="5" applyFont="1" applyFill="1" applyBorder="1" applyAlignment="1">
      <alignment horizontal="center"/>
    </xf>
    <xf numFmtId="3" fontId="23" fillId="9" borderId="13" xfId="5" quotePrefix="1" applyNumberFormat="1" applyFont="1" applyFill="1" applyBorder="1" applyAlignment="1">
      <alignment horizontal="center"/>
    </xf>
    <xf numFmtId="3" fontId="23" fillId="9" borderId="7" xfId="5" quotePrefix="1" applyNumberFormat="1" applyFont="1" applyFill="1" applyBorder="1" applyAlignment="1">
      <alignment horizontal="center"/>
    </xf>
    <xf numFmtId="3" fontId="23" fillId="9" borderId="8" xfId="5" quotePrefix="1" applyNumberFormat="1" applyFont="1" applyFill="1" applyBorder="1" applyAlignment="1">
      <alignment horizontal="center"/>
    </xf>
    <xf numFmtId="3" fontId="23" fillId="9" borderId="6" xfId="5" quotePrefix="1" applyNumberFormat="1" applyFont="1" applyFill="1" applyBorder="1" applyAlignment="1">
      <alignment horizontal="center"/>
    </xf>
    <xf numFmtId="0" fontId="18" fillId="9" borderId="15" xfId="0" applyFont="1" applyFill="1" applyBorder="1"/>
    <xf numFmtId="0" fontId="18" fillId="9" borderId="16" xfId="0" applyFont="1" applyFill="1" applyBorder="1"/>
    <xf numFmtId="3" fontId="23" fillId="9" borderId="6" xfId="5" applyNumberFormat="1" applyFont="1" applyFill="1" applyBorder="1" applyAlignment="1">
      <alignment horizontal="center"/>
    </xf>
    <xf numFmtId="3" fontId="23" fillId="9" borderId="17" xfId="5" applyNumberFormat="1" applyFont="1" applyFill="1" applyBorder="1" applyAlignment="1">
      <alignment horizontal="center"/>
    </xf>
    <xf numFmtId="168" fontId="18" fillId="10" borderId="2" xfId="0" applyNumberFormat="1" applyFont="1" applyFill="1" applyBorder="1" applyAlignment="1">
      <alignment horizontal="right"/>
    </xf>
    <xf numFmtId="9" fontId="19" fillId="10" borderId="2" xfId="50" applyFont="1" applyFill="1" applyBorder="1" applyAlignment="1">
      <alignment horizontal="right"/>
    </xf>
    <xf numFmtId="168" fontId="19" fillId="10" borderId="19" xfId="0" applyNumberFormat="1" applyFont="1" applyFill="1" applyBorder="1" applyAlignment="1">
      <alignment horizontal="right"/>
    </xf>
    <xf numFmtId="168" fontId="19" fillId="10" borderId="20" xfId="0" applyNumberFormat="1" applyFont="1" applyFill="1" applyBorder="1" applyAlignment="1">
      <alignment horizontal="right"/>
    </xf>
    <xf numFmtId="0" fontId="22" fillId="11" borderId="10" xfId="0" applyFont="1" applyFill="1" applyBorder="1"/>
    <xf numFmtId="168" fontId="18" fillId="11" borderId="0" xfId="0" applyNumberFormat="1" applyFont="1" applyFill="1"/>
    <xf numFmtId="168" fontId="19" fillId="11" borderId="0" xfId="0" applyNumberFormat="1" applyFont="1" applyFill="1" applyAlignment="1">
      <alignment horizontal="right"/>
    </xf>
    <xf numFmtId="168" fontId="19" fillId="11" borderId="10" xfId="0" applyNumberFormat="1" applyFont="1" applyFill="1" applyBorder="1" applyAlignment="1">
      <alignment horizontal="right"/>
    </xf>
    <xf numFmtId="168" fontId="19" fillId="11" borderId="18" xfId="0" applyNumberFormat="1" applyFont="1" applyFill="1" applyBorder="1" applyAlignment="1">
      <alignment horizontal="right"/>
    </xf>
    <xf numFmtId="0" fontId="18" fillId="11" borderId="10" xfId="0" applyFont="1" applyFill="1" applyBorder="1"/>
    <xf numFmtId="0" fontId="19" fillId="11" borderId="15" xfId="0" applyFont="1" applyFill="1" applyBorder="1"/>
    <xf numFmtId="168" fontId="18" fillId="11" borderId="21" xfId="0" applyNumberFormat="1" applyFont="1" applyFill="1" applyBorder="1"/>
    <xf numFmtId="168" fontId="19" fillId="11" borderId="21" xfId="0" applyNumberFormat="1" applyFont="1" applyFill="1" applyBorder="1" applyAlignment="1">
      <alignment horizontal="right"/>
    </xf>
    <xf numFmtId="168" fontId="19" fillId="11" borderId="15" xfId="0" applyNumberFormat="1" applyFont="1" applyFill="1" applyBorder="1" applyAlignment="1">
      <alignment horizontal="right"/>
    </xf>
    <xf numFmtId="168" fontId="19" fillId="11" borderId="16" xfId="0" applyNumberFormat="1" applyFont="1" applyFill="1" applyBorder="1" applyAlignment="1">
      <alignment horizontal="right"/>
    </xf>
    <xf numFmtId="0" fontId="33" fillId="11" borderId="6" xfId="0" applyFont="1" applyFill="1" applyBorder="1"/>
    <xf numFmtId="14" fontId="32" fillId="11" borderId="8" xfId="5" applyNumberFormat="1" applyFont="1" applyFill="1" applyBorder="1"/>
    <xf numFmtId="168" fontId="33" fillId="10" borderId="19" xfId="0" applyNumberFormat="1" applyFont="1" applyFill="1" applyBorder="1"/>
    <xf numFmtId="168" fontId="33" fillId="10" borderId="2" xfId="0" applyNumberFormat="1" applyFont="1" applyFill="1" applyBorder="1" applyAlignment="1">
      <alignment horizontal="right"/>
    </xf>
    <xf numFmtId="0" fontId="33" fillId="10" borderId="19" xfId="0" applyFont="1" applyFill="1" applyBorder="1"/>
    <xf numFmtId="0" fontId="18" fillId="11" borderId="0" xfId="0" applyFont="1" applyFill="1"/>
    <xf numFmtId="0" fontId="21" fillId="11" borderId="0" xfId="5" applyFont="1" applyFill="1"/>
    <xf numFmtId="0" fontId="19" fillId="11" borderId="36" xfId="0" applyFont="1" applyFill="1" applyBorder="1"/>
    <xf numFmtId="0" fontId="18" fillId="11" borderId="36" xfId="0" applyFont="1" applyFill="1" applyBorder="1"/>
    <xf numFmtId="0" fontId="23" fillId="11" borderId="36" xfId="5" applyFont="1" applyFill="1" applyBorder="1" applyAlignment="1">
      <alignment horizontal="center"/>
    </xf>
    <xf numFmtId="0" fontId="19" fillId="2" borderId="0" xfId="0" applyFont="1" applyFill="1" applyBorder="1"/>
    <xf numFmtId="14" fontId="32" fillId="11" borderId="6" xfId="5" applyNumberFormat="1" applyFont="1" applyFill="1" applyBorder="1"/>
    <xf numFmtId="3" fontId="32" fillId="2" borderId="18" xfId="8" applyNumberFormat="1" applyFont="1" applyFill="1" applyBorder="1" applyAlignment="1">
      <alignment horizontal="center"/>
    </xf>
    <xf numFmtId="168" fontId="4" fillId="2" borderId="18" xfId="8" applyNumberFormat="1" applyFont="1" applyFill="1" applyBorder="1" applyAlignment="1"/>
    <xf numFmtId="168" fontId="4" fillId="2" borderId="18" xfId="8" applyNumberFormat="1" applyFont="1" applyFill="1" applyBorder="1" applyAlignment="1">
      <alignment horizontal="right"/>
    </xf>
    <xf numFmtId="168" fontId="33" fillId="10" borderId="20" xfId="0" applyNumberFormat="1" applyFont="1" applyFill="1" applyBorder="1" applyAlignment="1">
      <alignment horizontal="right"/>
    </xf>
    <xf numFmtId="168" fontId="33" fillId="2" borderId="18" xfId="0" applyNumberFormat="1" applyFont="1" applyFill="1" applyBorder="1" applyAlignment="1">
      <alignment horizontal="right"/>
    </xf>
    <xf numFmtId="168" fontId="36" fillId="2" borderId="18" xfId="0" applyNumberFormat="1" applyFont="1" applyFill="1" applyBorder="1" applyAlignment="1">
      <alignment horizontal="right"/>
    </xf>
    <xf numFmtId="168" fontId="7" fillId="2" borderId="18" xfId="0" applyNumberFormat="1" applyFont="1" applyFill="1" applyBorder="1" applyAlignment="1">
      <alignment horizontal="right"/>
    </xf>
    <xf numFmtId="9" fontId="1" fillId="0" borderId="0" xfId="50" applyFont="1" applyFill="1" applyBorder="1" applyAlignment="1">
      <alignment horizontal="right"/>
    </xf>
    <xf numFmtId="168" fontId="54" fillId="0" borderId="36" xfId="0" applyNumberFormat="1" applyFont="1" applyBorder="1"/>
    <xf numFmtId="3" fontId="54" fillId="0" borderId="36" xfId="0" applyNumberFormat="1" applyFont="1" applyBorder="1"/>
    <xf numFmtId="0" fontId="60" fillId="0" borderId="33" xfId="5" applyFont="1" applyFill="1" applyBorder="1"/>
    <xf numFmtId="0" fontId="61" fillId="0" borderId="36" xfId="0" applyFont="1" applyFill="1" applyBorder="1" applyAlignment="1">
      <alignment wrapText="1"/>
    </xf>
    <xf numFmtId="0" fontId="27" fillId="4" borderId="9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4" borderId="14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left" vertical="center"/>
    </xf>
    <xf numFmtId="0" fontId="27" fillId="4" borderId="22" xfId="0" applyFont="1" applyFill="1" applyBorder="1" applyAlignment="1">
      <alignment horizontal="left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9" fillId="10" borderId="40" xfId="0" applyFont="1" applyFill="1" applyBorder="1" applyAlignment="1">
      <alignment horizontal="left" vertical="center"/>
    </xf>
    <xf numFmtId="0" fontId="29" fillId="10" borderId="56" xfId="0" applyFont="1" applyFill="1" applyBorder="1" applyAlignment="1">
      <alignment horizontal="left" vertical="center"/>
    </xf>
    <xf numFmtId="0" fontId="29" fillId="9" borderId="57" xfId="0" applyFont="1" applyFill="1" applyBorder="1" applyAlignment="1">
      <alignment horizontal="center" vertical="center"/>
    </xf>
    <xf numFmtId="0" fontId="29" fillId="9" borderId="58" xfId="0" applyFont="1" applyFill="1" applyBorder="1" applyAlignment="1">
      <alignment horizontal="center" vertical="center"/>
    </xf>
    <xf numFmtId="0" fontId="29" fillId="9" borderId="59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left" vertical="center"/>
    </xf>
    <xf numFmtId="0" fontId="27" fillId="11" borderId="8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9" borderId="38" xfId="0" applyFont="1" applyFill="1" applyBorder="1" applyAlignment="1">
      <alignment horizontal="center" vertical="center" wrapText="1"/>
    </xf>
    <xf numFmtId="0" fontId="27" fillId="9" borderId="33" xfId="0" applyFont="1" applyFill="1" applyBorder="1" applyAlignment="1">
      <alignment horizontal="center" vertical="center" wrapText="1"/>
    </xf>
    <xf numFmtId="0" fontId="27" fillId="9" borderId="52" xfId="0" applyFont="1" applyFill="1" applyBorder="1" applyAlignment="1">
      <alignment horizontal="center" vertical="center" wrapText="1"/>
    </xf>
    <xf numFmtId="0" fontId="29" fillId="10" borderId="40" xfId="0" applyFont="1" applyFill="1" applyBorder="1" applyAlignment="1">
      <alignment horizontal="justify" vertical="center" wrapText="1"/>
    </xf>
    <xf numFmtId="0" fontId="29" fillId="10" borderId="56" xfId="0" applyFont="1" applyFill="1" applyBorder="1" applyAlignment="1">
      <alignment horizontal="justify" vertical="center" wrapText="1"/>
    </xf>
    <xf numFmtId="0" fontId="29" fillId="9" borderId="35" xfId="0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/>
    </xf>
    <xf numFmtId="0" fontId="29" fillId="9" borderId="61" xfId="0" applyFont="1" applyFill="1" applyBorder="1" applyAlignment="1">
      <alignment horizontal="center" vertical="center"/>
    </xf>
    <xf numFmtId="0" fontId="27" fillId="11" borderId="60" xfId="0" applyFont="1" applyFill="1" applyBorder="1" applyAlignment="1">
      <alignment horizontal="left" vertical="center"/>
    </xf>
    <xf numFmtId="0" fontId="27" fillId="11" borderId="39" xfId="0" applyFont="1" applyFill="1" applyBorder="1" applyAlignment="1">
      <alignment horizontal="left" vertical="center"/>
    </xf>
    <xf numFmtId="0" fontId="27" fillId="11" borderId="60" xfId="0" applyFont="1" applyFill="1" applyBorder="1" applyAlignment="1">
      <alignment horizontal="center" vertical="center"/>
    </xf>
    <xf numFmtId="0" fontId="27" fillId="11" borderId="39" xfId="0" applyFont="1" applyFill="1" applyBorder="1" applyAlignment="1">
      <alignment horizontal="center" vertical="center"/>
    </xf>
    <xf numFmtId="0" fontId="27" fillId="11" borderId="60" xfId="0" applyFont="1" applyFill="1" applyBorder="1" applyAlignment="1">
      <alignment horizontal="right" vertical="center"/>
    </xf>
    <xf numFmtId="0" fontId="27" fillId="11" borderId="39" xfId="0" applyFont="1" applyFill="1" applyBorder="1" applyAlignment="1">
      <alignment horizontal="right" vertical="center"/>
    </xf>
    <xf numFmtId="0" fontId="27" fillId="9" borderId="57" xfId="0" applyFont="1" applyFill="1" applyBorder="1" applyAlignment="1">
      <alignment horizontal="center" vertical="center" wrapText="1"/>
    </xf>
    <xf numFmtId="0" fontId="27" fillId="9" borderId="58" xfId="0" applyFont="1" applyFill="1" applyBorder="1" applyAlignment="1">
      <alignment horizontal="center" vertical="center" wrapText="1"/>
    </xf>
    <xf numFmtId="0" fontId="27" fillId="9" borderId="59" xfId="0" applyFont="1" applyFill="1" applyBorder="1" applyAlignment="1">
      <alignment horizontal="center" vertical="center" wrapText="1"/>
    </xf>
    <xf numFmtId="0" fontId="27" fillId="9" borderId="38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27" fillId="9" borderId="52" xfId="0" applyFont="1" applyFill="1" applyBorder="1" applyAlignment="1">
      <alignment horizontal="center" vertical="center"/>
    </xf>
    <xf numFmtId="0" fontId="29" fillId="10" borderId="62" xfId="0" applyFont="1" applyFill="1" applyBorder="1" applyAlignment="1">
      <alignment horizontal="left" vertical="center"/>
    </xf>
    <xf numFmtId="0" fontId="29" fillId="10" borderId="63" xfId="0" applyFont="1" applyFill="1" applyBorder="1" applyAlignment="1">
      <alignment horizontal="left" vertical="center"/>
    </xf>
    <xf numFmtId="0" fontId="27" fillId="9" borderId="64" xfId="0" applyFont="1" applyFill="1" applyBorder="1" applyAlignment="1">
      <alignment horizontal="left" vertical="center"/>
    </xf>
    <xf numFmtId="0" fontId="27" fillId="9" borderId="39" xfId="0" applyFont="1" applyFill="1" applyBorder="1" applyAlignment="1">
      <alignment horizontal="left" vertical="center"/>
    </xf>
    <xf numFmtId="0" fontId="27" fillId="9" borderId="64" xfId="0" applyFont="1" applyFill="1" applyBorder="1" applyAlignment="1">
      <alignment horizontal="center" vertical="center"/>
    </xf>
    <xf numFmtId="0" fontId="27" fillId="9" borderId="39" xfId="0" applyFont="1" applyFill="1" applyBorder="1" applyAlignment="1">
      <alignment horizontal="center" vertical="center"/>
    </xf>
    <xf numFmtId="0" fontId="27" fillId="9" borderId="64" xfId="0" applyFont="1" applyFill="1" applyBorder="1" applyAlignment="1">
      <alignment horizontal="right" vertical="center"/>
    </xf>
    <xf numFmtId="0" fontId="27" fillId="9" borderId="39" xfId="0" applyFont="1" applyFill="1" applyBorder="1" applyAlignment="1">
      <alignment horizontal="right" vertical="center"/>
    </xf>
    <xf numFmtId="0" fontId="29" fillId="10" borderId="44" xfId="0" applyFont="1" applyFill="1" applyBorder="1" applyAlignment="1">
      <alignment horizontal="left" vertical="center" wrapText="1"/>
    </xf>
    <xf numFmtId="0" fontId="29" fillId="10" borderId="65" xfId="0" applyFont="1" applyFill="1" applyBorder="1" applyAlignment="1">
      <alignment horizontal="left" vertical="center" wrapText="1"/>
    </xf>
    <xf numFmtId="0" fontId="54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188" fontId="57" fillId="2" borderId="0" xfId="0" applyNumberFormat="1" applyFont="1" applyFill="1" applyBorder="1"/>
    <xf numFmtId="0" fontId="51" fillId="2" borderId="0" xfId="5" applyFont="1" applyFill="1" applyBorder="1"/>
    <xf numFmtId="0" fontId="30" fillId="2" borderId="0" xfId="0" applyFont="1" applyFill="1" applyBorder="1"/>
    <xf numFmtId="0" fontId="30" fillId="0" borderId="0" xfId="0" applyFont="1" applyBorder="1" applyAlignment="1">
      <alignment wrapText="1"/>
    </xf>
    <xf numFmtId="188" fontId="57" fillId="0" borderId="0" xfId="0" applyNumberFormat="1" applyFont="1" applyBorder="1"/>
    <xf numFmtId="0" fontId="54" fillId="0" borderId="0" xfId="0" applyFont="1" applyBorder="1"/>
    <xf numFmtId="0" fontId="30" fillId="0" borderId="0" xfId="0" applyFont="1" applyBorder="1"/>
  </cellXfs>
  <cellStyles count="56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_YouGov 280509" xfId="15" xr:uid="{00000000-0005-0000-0000-000009000000}"/>
    <cellStyle name="Comma 2*" xfId="14" xr:uid="{00000000-0005-0000-0000-000008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3" builtinId="9" hidden="1"/>
    <cellStyle name="Followed Hyperlink" xfId="55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2" builtinId="8" hidden="1"/>
    <cellStyle name="Hyperlink" xfId="54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Documents%20and%20Settings/Brian/Local%20Settings/Temporary%20Internet%20Files/OLK1/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Finance/Board%20Reports/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AB49"/>
  <sheetViews>
    <sheetView showGridLines="0" tabSelected="1" topLeftCell="A25" zoomScale="80" zoomScaleNormal="80" zoomScalePageLayoutView="80" workbookViewId="0">
      <selection activeCell="B41" sqref="B41"/>
    </sheetView>
  </sheetViews>
  <sheetFormatPr baseColWidth="10" defaultColWidth="8.83203125" defaultRowHeight="15"/>
  <cols>
    <col min="1" max="1" width="12.33203125" style="97" customWidth="1"/>
    <col min="2" max="2" width="29.6640625" style="115" customWidth="1"/>
    <col min="3" max="3" width="18.5" style="97" customWidth="1"/>
    <col min="4" max="4" width="27" style="97" customWidth="1"/>
    <col min="5" max="7" width="23.1640625" style="120" customWidth="1"/>
    <col min="8" max="8" width="25.6640625" style="97" customWidth="1"/>
    <col min="9" max="9" width="23.6640625" style="97" customWidth="1"/>
    <col min="10" max="10" width="15.5" style="97" bestFit="1" customWidth="1"/>
    <col min="11" max="11" width="15.83203125" style="97" bestFit="1" customWidth="1"/>
    <col min="12" max="12" width="9.5" style="97" bestFit="1" customWidth="1"/>
    <col min="13" max="16384" width="8.83203125" style="97"/>
  </cols>
  <sheetData>
    <row r="2" spans="1:28" ht="21">
      <c r="B2" s="21" t="s">
        <v>218</v>
      </c>
      <c r="C2" s="98"/>
      <c r="D2" s="98"/>
      <c r="E2" s="99"/>
      <c r="F2" s="99"/>
      <c r="G2" s="99"/>
    </row>
    <row r="3" spans="1:28" ht="21">
      <c r="B3" s="100" t="s">
        <v>43</v>
      </c>
      <c r="C3" s="98"/>
      <c r="D3" s="98"/>
      <c r="E3" s="99"/>
      <c r="F3" s="99"/>
      <c r="G3" s="99"/>
    </row>
    <row r="4" spans="1:28" ht="14.25" customHeight="1" thickBot="1">
      <c r="B4" s="100"/>
      <c r="C4" s="98"/>
      <c r="D4" s="98"/>
      <c r="E4" s="99"/>
      <c r="F4" s="99"/>
      <c r="G4" s="99"/>
      <c r="J4" s="101"/>
    </row>
    <row r="5" spans="1:28" ht="22" thickBot="1">
      <c r="B5" s="147" t="s">
        <v>42</v>
      </c>
      <c r="C5" s="148"/>
      <c r="D5" s="149"/>
      <c r="E5" s="150" t="s">
        <v>220</v>
      </c>
      <c r="F5" s="150" t="s">
        <v>219</v>
      </c>
      <c r="G5" s="150" t="s">
        <v>162</v>
      </c>
    </row>
    <row r="6" spans="1:28" ht="21">
      <c r="B6" s="102" t="s">
        <v>208</v>
      </c>
      <c r="C6" s="103"/>
      <c r="D6" s="103"/>
      <c r="E6" s="104">
        <v>8.26</v>
      </c>
      <c r="F6" s="104">
        <v>8.4</v>
      </c>
      <c r="G6" s="104">
        <v>8.4</v>
      </c>
      <c r="L6" s="105"/>
    </row>
    <row r="7" spans="1:28" ht="21">
      <c r="B7" s="169" t="s">
        <v>0</v>
      </c>
      <c r="C7" s="170"/>
      <c r="D7" s="170"/>
      <c r="E7" s="171">
        <v>6731.0780962469744</v>
      </c>
      <c r="F7" s="171">
        <v>5500</v>
      </c>
      <c r="G7" s="171">
        <v>5556.6417511904765</v>
      </c>
      <c r="L7" s="105"/>
    </row>
    <row r="8" spans="1:28" s="105" customFormat="1" ht="21">
      <c r="B8" s="173" t="s">
        <v>41</v>
      </c>
      <c r="C8" s="172"/>
      <c r="D8" s="172"/>
      <c r="E8" s="174">
        <v>5540.5943637341943</v>
      </c>
      <c r="F8" s="174">
        <v>5500</v>
      </c>
      <c r="G8" s="174">
        <v>5279.5479761904762</v>
      </c>
      <c r="H8" s="97"/>
      <c r="I8" s="97"/>
      <c r="J8" s="97"/>
      <c r="K8" s="97"/>
    </row>
    <row r="9" spans="1:28" s="105" customFormat="1" ht="21">
      <c r="B9" s="175" t="s">
        <v>40</v>
      </c>
      <c r="C9" s="176"/>
      <c r="D9" s="176"/>
      <c r="E9" s="177">
        <v>6</v>
      </c>
      <c r="F9" s="177">
        <v>0</v>
      </c>
      <c r="G9" s="177">
        <v>3</v>
      </c>
      <c r="H9" s="97"/>
      <c r="I9" s="97"/>
      <c r="J9" s="97"/>
      <c r="K9" s="97"/>
    </row>
    <row r="10" spans="1:28" s="105" customFormat="1" ht="21" customHeight="1">
      <c r="B10" s="106"/>
      <c r="C10" s="103"/>
      <c r="D10" s="103"/>
      <c r="E10" s="107"/>
      <c r="F10" s="107"/>
      <c r="G10" s="107"/>
      <c r="H10" s="97"/>
      <c r="I10" s="97"/>
      <c r="J10" s="97"/>
      <c r="K10" s="97"/>
    </row>
    <row r="11" spans="1:28" ht="21" customHeight="1">
      <c r="A11" s="105"/>
      <c r="B11" s="108" t="s">
        <v>35</v>
      </c>
      <c r="C11" s="103"/>
      <c r="D11" s="103"/>
      <c r="E11" s="109">
        <f>+E7-E8+E9</f>
        <v>1196.4837325127801</v>
      </c>
      <c r="F11" s="109">
        <f>+F7-F8+F9</f>
        <v>0</v>
      </c>
      <c r="G11" s="109">
        <v>280.09377500000028</v>
      </c>
    </row>
    <row r="12" spans="1:28" ht="21" customHeight="1">
      <c r="A12" s="105"/>
      <c r="B12" s="108"/>
      <c r="C12" s="103"/>
      <c r="D12" s="103"/>
      <c r="E12" s="109"/>
      <c r="F12" s="109"/>
      <c r="G12" s="109"/>
    </row>
    <row r="13" spans="1:28" ht="21" customHeight="1">
      <c r="B13" s="110" t="s">
        <v>39</v>
      </c>
      <c r="C13" s="103"/>
      <c r="D13" s="103"/>
      <c r="E13" s="104">
        <v>8.2100000000000009</v>
      </c>
      <c r="F13" s="104">
        <v>8.4</v>
      </c>
      <c r="G13" s="104">
        <v>8.6199999999999992</v>
      </c>
    </row>
    <row r="14" spans="1:28" ht="21" customHeight="1">
      <c r="B14" s="178" t="s">
        <v>215</v>
      </c>
      <c r="C14" s="179"/>
      <c r="D14" s="180" t="s">
        <v>2</v>
      </c>
      <c r="E14" s="181">
        <v>566</v>
      </c>
      <c r="F14" s="181">
        <v>566</v>
      </c>
      <c r="G14" s="181">
        <v>287</v>
      </c>
    </row>
    <row r="15" spans="1:28" ht="21" customHeight="1">
      <c r="B15" s="182" t="s">
        <v>68</v>
      </c>
      <c r="C15" s="183"/>
      <c r="D15" s="184" t="s">
        <v>38</v>
      </c>
      <c r="E15" s="185">
        <v>1799</v>
      </c>
      <c r="F15" s="185">
        <v>566</v>
      </c>
      <c r="G15" s="185">
        <v>566</v>
      </c>
      <c r="I15" s="105"/>
      <c r="AB15" s="111"/>
    </row>
    <row r="16" spans="1:28" ht="21">
      <c r="B16" s="112"/>
      <c r="C16" s="103"/>
      <c r="D16" s="103"/>
      <c r="E16" s="113"/>
      <c r="F16" s="113"/>
      <c r="G16" s="113"/>
      <c r="I16" s="105"/>
    </row>
    <row r="17" spans="1:12" s="105" customFormat="1" ht="21">
      <c r="A17" s="97"/>
      <c r="B17" s="186" t="s">
        <v>69</v>
      </c>
      <c r="C17" s="187"/>
      <c r="D17" s="187"/>
      <c r="E17" s="188">
        <v>3197</v>
      </c>
      <c r="F17" s="188">
        <v>2000</v>
      </c>
      <c r="G17" s="188">
        <v>2055.9164733178654</v>
      </c>
      <c r="H17" s="97"/>
    </row>
    <row r="18" spans="1:12" ht="22" thickBot="1">
      <c r="A18" s="105"/>
      <c r="B18" s="189" t="s">
        <v>100</v>
      </c>
      <c r="C18" s="190"/>
      <c r="D18" s="190"/>
      <c r="E18" s="191">
        <v>585</v>
      </c>
      <c r="F18" s="191">
        <v>559</v>
      </c>
      <c r="G18" s="191">
        <v>558.58468677494204</v>
      </c>
      <c r="H18" s="114"/>
      <c r="I18" s="105"/>
    </row>
    <row r="19" spans="1:12">
      <c r="C19" s="116"/>
      <c r="D19" s="116"/>
      <c r="E19" s="116"/>
      <c r="F19" s="116"/>
      <c r="G19" s="116"/>
      <c r="I19" s="105"/>
    </row>
    <row r="20" spans="1:12" ht="19">
      <c r="B20" s="135"/>
      <c r="C20" s="116"/>
      <c r="D20" s="116"/>
      <c r="E20" s="116"/>
      <c r="F20" s="116"/>
      <c r="G20" s="116"/>
      <c r="H20" s="117" t="s">
        <v>2</v>
      </c>
      <c r="I20" s="105"/>
    </row>
    <row r="21" spans="1:12" ht="19">
      <c r="C21" s="118"/>
      <c r="D21" s="118"/>
      <c r="E21" s="118"/>
      <c r="F21" s="118"/>
      <c r="G21" s="118"/>
      <c r="H21" s="119" t="s">
        <v>2</v>
      </c>
      <c r="I21" s="105"/>
    </row>
    <row r="22" spans="1:12" s="120" customFormat="1" ht="25" thickBot="1">
      <c r="A22" s="121"/>
      <c r="B22" s="144" t="s">
        <v>217</v>
      </c>
      <c r="C22" s="145"/>
      <c r="D22" s="146" t="s">
        <v>111</v>
      </c>
      <c r="E22" s="121"/>
      <c r="F22" s="121"/>
      <c r="G22" s="121"/>
      <c r="H22" s="124"/>
      <c r="I22" s="124"/>
      <c r="J22" s="124"/>
      <c r="K22" s="97"/>
      <c r="L22" s="97"/>
    </row>
    <row r="23" spans="1:12" s="120" customFormat="1" ht="25" thickTop="1">
      <c r="A23" s="121"/>
      <c r="B23" s="282" t="s">
        <v>157</v>
      </c>
      <c r="C23" s="164"/>
      <c r="D23" s="165">
        <f>+Revenue_detail!E14</f>
        <v>105418.83414043585</v>
      </c>
      <c r="E23" s="121"/>
      <c r="F23" s="121"/>
      <c r="G23" s="121"/>
      <c r="H23" s="124"/>
      <c r="I23" s="124"/>
      <c r="J23" s="124"/>
      <c r="K23" s="97"/>
      <c r="L23" s="97"/>
    </row>
    <row r="24" spans="1:12" s="120" customFormat="1" ht="120">
      <c r="A24" s="121"/>
      <c r="B24" s="283" t="s">
        <v>227</v>
      </c>
      <c r="C24" s="280"/>
      <c r="D24" s="281">
        <f>Revenue_detail!E40</f>
        <v>4684846.5018159803</v>
      </c>
      <c r="E24" s="125"/>
      <c r="F24" s="121"/>
      <c r="G24" s="121"/>
      <c r="H24" s="124"/>
      <c r="I24" s="124"/>
      <c r="J24" s="124"/>
      <c r="K24" s="97"/>
      <c r="L24" s="97"/>
    </row>
    <row r="25" spans="1:12" s="120" customFormat="1" ht="24">
      <c r="A25" s="121"/>
      <c r="B25" s="163" t="s">
        <v>116</v>
      </c>
      <c r="C25" s="164"/>
      <c r="D25" s="165">
        <f>Revenue_detail!E44+Revenue_detail!E72+Revenue_detail!E88+Revenue_detail!E92</f>
        <v>1940961.7590799031</v>
      </c>
      <c r="E25" s="125"/>
      <c r="F25" s="121"/>
      <c r="I25" s="124"/>
      <c r="J25" s="124"/>
      <c r="K25" s="97"/>
      <c r="L25" s="97"/>
    </row>
    <row r="26" spans="1:12" s="120" customFormat="1" ht="24">
      <c r="A26" s="121"/>
      <c r="B26" s="163" t="s">
        <v>258</v>
      </c>
      <c r="C26" s="163"/>
      <c r="D26" s="165">
        <f>+Revenue_detail!E44</f>
        <v>20383.249394673123</v>
      </c>
      <c r="E26" s="125"/>
      <c r="F26" s="121"/>
      <c r="G26" s="121"/>
      <c r="H26" s="126"/>
      <c r="I26" s="124"/>
      <c r="J26" s="124"/>
      <c r="K26" s="97"/>
      <c r="L26" s="97"/>
    </row>
    <row r="27" spans="1:12" s="120" customFormat="1" ht="24">
      <c r="A27" s="121"/>
      <c r="B27" s="163" t="s">
        <v>192</v>
      </c>
      <c r="C27" s="163"/>
      <c r="D27" s="165">
        <f>Revenue_detail!E72</f>
        <v>1114969.4322033897</v>
      </c>
      <c r="E27" s="125"/>
      <c r="F27" s="121"/>
      <c r="G27" s="121"/>
      <c r="H27" s="126"/>
      <c r="I27" s="124"/>
      <c r="J27" s="124"/>
      <c r="K27" s="97"/>
      <c r="L27" s="97"/>
    </row>
    <row r="28" spans="1:12" s="120" customFormat="1" ht="24">
      <c r="A28" s="121"/>
      <c r="B28" s="163" t="s">
        <v>194</v>
      </c>
      <c r="C28" s="164"/>
      <c r="D28" s="165">
        <f>Revenue_detail!E88</f>
        <v>731837.33171912841</v>
      </c>
      <c r="E28" s="125"/>
      <c r="F28" s="121"/>
      <c r="G28" s="121"/>
      <c r="H28" s="126"/>
      <c r="I28" s="124"/>
      <c r="J28" s="124"/>
      <c r="K28" s="97"/>
      <c r="L28" s="97"/>
    </row>
    <row r="29" spans="1:12" s="120" customFormat="1" ht="25" thickBot="1">
      <c r="A29" s="121"/>
      <c r="B29" s="166" t="s">
        <v>82</v>
      </c>
      <c r="C29" s="167"/>
      <c r="D29" s="168">
        <f>Revenue_detail!E92</f>
        <v>73771.745762711857</v>
      </c>
      <c r="E29" s="125"/>
      <c r="F29" s="121"/>
      <c r="G29" s="121"/>
      <c r="H29" s="126"/>
      <c r="I29" s="124"/>
      <c r="J29" s="124"/>
      <c r="K29" s="97"/>
      <c r="L29" s="97"/>
    </row>
    <row r="30" spans="1:12" s="120" customFormat="1" ht="25" thickTop="1">
      <c r="A30" s="121"/>
      <c r="B30" s="141" t="s">
        <v>1</v>
      </c>
      <c r="C30" s="142"/>
      <c r="D30" s="143">
        <f>SUM(D23:D25)</f>
        <v>6731227.0950363195</v>
      </c>
      <c r="E30" s="121"/>
      <c r="F30" s="121"/>
      <c r="I30" s="124"/>
      <c r="J30" s="124"/>
      <c r="K30" s="97"/>
      <c r="L30" s="97"/>
    </row>
    <row r="31" spans="1:12" s="120" customFormat="1" ht="24">
      <c r="A31" s="121"/>
      <c r="B31" s="127"/>
      <c r="C31" s="123"/>
      <c r="D31" s="123"/>
      <c r="E31" s="121"/>
      <c r="F31" s="121"/>
      <c r="G31" s="121"/>
      <c r="H31" s="124"/>
      <c r="I31" s="124"/>
      <c r="J31" s="124"/>
      <c r="K31" s="97"/>
      <c r="L31" s="97"/>
    </row>
    <row r="32" spans="1:12" s="120" customFormat="1" ht="24">
      <c r="A32" s="121"/>
      <c r="B32" s="127"/>
      <c r="C32" s="123"/>
      <c r="D32" s="123"/>
      <c r="E32" s="121"/>
      <c r="F32" s="121"/>
      <c r="G32" s="121"/>
      <c r="H32" s="124"/>
      <c r="I32" s="124"/>
      <c r="J32" s="124"/>
      <c r="K32" s="97"/>
      <c r="L32" s="97"/>
    </row>
    <row r="33" spans="1:15" ht="24">
      <c r="A33" s="124"/>
      <c r="B33" s="122" t="s">
        <v>209</v>
      </c>
      <c r="D33" s="124"/>
      <c r="E33" s="121"/>
      <c r="F33" s="121"/>
      <c r="G33" s="121"/>
      <c r="H33" s="124"/>
      <c r="I33" s="124"/>
      <c r="J33" s="124"/>
    </row>
    <row r="34" spans="1:15" ht="24">
      <c r="A34" s="124"/>
      <c r="B34" s="122"/>
      <c r="C34" s="161"/>
      <c r="D34" s="124"/>
      <c r="E34" s="121"/>
      <c r="F34" s="121"/>
      <c r="G34" s="121"/>
      <c r="H34" s="124"/>
      <c r="I34" s="124"/>
      <c r="J34" s="124"/>
    </row>
    <row r="35" spans="1:15" ht="24">
      <c r="A35" s="128"/>
      <c r="B35" s="162" t="s">
        <v>195</v>
      </c>
      <c r="C35" s="161" t="s">
        <v>210</v>
      </c>
      <c r="D35" s="162"/>
      <c r="E35" s="162"/>
      <c r="F35" s="162"/>
      <c r="G35" s="162"/>
      <c r="H35" s="162"/>
      <c r="I35" s="162"/>
      <c r="J35" s="162"/>
      <c r="K35" s="162"/>
      <c r="L35" s="129"/>
      <c r="M35" s="124"/>
      <c r="N35" s="124"/>
      <c r="O35" s="124"/>
    </row>
    <row r="36" spans="1:15" s="134" customFormat="1" ht="73" thickBot="1">
      <c r="A36" s="130"/>
      <c r="B36" s="131" t="s">
        <v>196</v>
      </c>
      <c r="C36" s="131" t="s">
        <v>197</v>
      </c>
      <c r="D36" s="131" t="s">
        <v>198</v>
      </c>
      <c r="E36" s="131" t="s">
        <v>10</v>
      </c>
      <c r="F36" s="131" t="s">
        <v>199</v>
      </c>
      <c r="G36" s="131" t="s">
        <v>200</v>
      </c>
      <c r="H36" s="131" t="s">
        <v>201</v>
      </c>
      <c r="I36" s="131" t="s">
        <v>202</v>
      </c>
      <c r="J36" s="131" t="s">
        <v>34</v>
      </c>
      <c r="K36" s="131" t="s">
        <v>203</v>
      </c>
      <c r="L36" s="132" t="s">
        <v>1</v>
      </c>
      <c r="M36" s="133"/>
      <c r="N36" s="133"/>
      <c r="O36" s="133"/>
    </row>
    <row r="37" spans="1:15" ht="25" thickTop="1">
      <c r="A37" s="192">
        <v>2017</v>
      </c>
      <c r="B37" s="193">
        <f>'Result Report USD'!D25</f>
        <v>1549.2036319612591</v>
      </c>
      <c r="C37" s="193">
        <f>'Result Report USD'!D26</f>
        <v>62.588539144471348</v>
      </c>
      <c r="D37" s="193">
        <f>'Result Report USD'!D27</f>
        <v>771.68365617433415</v>
      </c>
      <c r="E37" s="193">
        <f>'Result Report USD'!D28</f>
        <v>431.83270110304011</v>
      </c>
      <c r="F37" s="193">
        <f>'Result Report USD'!D29</f>
        <v>164.785593220339</v>
      </c>
      <c r="G37" s="193">
        <f>'Result Report USD'!D30</f>
        <v>658.23995157384991</v>
      </c>
      <c r="H37" s="193">
        <f>'Result Report USD'!D31</f>
        <v>140.58353510895884</v>
      </c>
      <c r="I37" s="193">
        <f>'Result Report USD'!D32</f>
        <v>766.26307506053263</v>
      </c>
      <c r="J37" s="193">
        <f>'Result Report USD'!D33</f>
        <v>0</v>
      </c>
      <c r="K37" s="193">
        <f>'Result Report USD'!D34</f>
        <v>995.41368038740927</v>
      </c>
      <c r="L37" s="194">
        <f>SUM(B37:K37)</f>
        <v>5540.5943637341943</v>
      </c>
      <c r="M37" s="124"/>
      <c r="N37" s="124"/>
      <c r="O37" s="124"/>
    </row>
    <row r="38" spans="1:15" ht="24">
      <c r="A38" s="192">
        <v>2016</v>
      </c>
      <c r="B38" s="193">
        <v>1225</v>
      </c>
      <c r="C38" s="193">
        <f>'Result Report USD'!L26</f>
        <v>114.32404761904762</v>
      </c>
      <c r="D38" s="193">
        <f>'Result Report USD'!L27</f>
        <v>518.22154761904756</v>
      </c>
      <c r="E38" s="193">
        <f>'Result Report USD'!L28</f>
        <v>600.06416666666678</v>
      </c>
      <c r="F38" s="193">
        <f>'Result Report USD'!L29</f>
        <v>164.40059523809524</v>
      </c>
      <c r="G38" s="193">
        <f>'Result Report USD'!L30</f>
        <v>352.35785714285714</v>
      </c>
      <c r="H38" s="193">
        <f>'Result Report USD'!L31</f>
        <v>117.27380952380953</v>
      </c>
      <c r="I38" s="193">
        <f>'Result Report USD'!L32</f>
        <v>685.48285714285714</v>
      </c>
      <c r="J38" s="193">
        <f>'Result Report USD'!L33</f>
        <v>995.96547619047612</v>
      </c>
      <c r="K38" s="193">
        <f>'Result Report USD'!L34</f>
        <v>506.20547619047613</v>
      </c>
      <c r="L38" s="194">
        <v>5277</v>
      </c>
      <c r="M38" s="124"/>
      <c r="N38" s="124"/>
      <c r="O38" s="124"/>
    </row>
    <row r="39" spans="1:15" ht="24">
      <c r="A39" s="195">
        <v>2015</v>
      </c>
      <c r="B39" s="196">
        <v>1602</v>
      </c>
      <c r="C39" s="196">
        <v>263</v>
      </c>
      <c r="D39" s="196">
        <v>959</v>
      </c>
      <c r="E39" s="196">
        <v>546</v>
      </c>
      <c r="F39" s="196">
        <v>33</v>
      </c>
      <c r="G39" s="196">
        <v>476</v>
      </c>
      <c r="H39" s="196">
        <v>219</v>
      </c>
      <c r="I39" s="196">
        <v>619</v>
      </c>
      <c r="J39" s="196">
        <v>124</v>
      </c>
      <c r="K39" s="196">
        <v>239</v>
      </c>
      <c r="L39" s="197">
        <v>5080</v>
      </c>
      <c r="M39" s="124"/>
      <c r="N39" s="124"/>
      <c r="O39" s="124"/>
    </row>
    <row r="40" spans="1:15" ht="24">
      <c r="A40" s="124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</row>
    <row r="41" spans="1:15" ht="24">
      <c r="A41" s="124"/>
      <c r="B41" s="127"/>
      <c r="C41" s="124"/>
      <c r="D41" s="124"/>
      <c r="E41" s="121"/>
      <c r="F41" s="121"/>
      <c r="G41" s="121"/>
      <c r="H41" s="124"/>
      <c r="I41" s="124"/>
      <c r="J41" s="124"/>
    </row>
    <row r="42" spans="1:15" ht="24">
      <c r="B42" s="136" t="s">
        <v>204</v>
      </c>
      <c r="C42" s="161" t="s">
        <v>210</v>
      </c>
      <c r="D42" s="124"/>
      <c r="E42" s="124"/>
      <c r="F42" s="121"/>
      <c r="G42" s="121"/>
      <c r="H42" s="124"/>
      <c r="I42" s="124"/>
      <c r="J42" s="124"/>
    </row>
    <row r="43" spans="1:15" s="134" customFormat="1" ht="49" thickBot="1">
      <c r="B43" s="137" t="s">
        <v>205</v>
      </c>
      <c r="C43" s="138" t="s">
        <v>206</v>
      </c>
      <c r="D43" s="139" t="s">
        <v>212</v>
      </c>
      <c r="E43" s="139" t="s">
        <v>213</v>
      </c>
      <c r="F43" s="140" t="s">
        <v>207</v>
      </c>
      <c r="G43" s="140" t="s">
        <v>50</v>
      </c>
      <c r="H43" s="140" t="s">
        <v>1</v>
      </c>
      <c r="I43" s="337"/>
      <c r="J43" s="337"/>
      <c r="K43" s="338"/>
      <c r="L43" s="338"/>
      <c r="M43" s="342"/>
    </row>
    <row r="44" spans="1:15" ht="25" thickTop="1">
      <c r="A44" s="192">
        <v>2017</v>
      </c>
      <c r="B44" s="193">
        <f>'Result Report USD'!D38</f>
        <v>2745.5840193704598</v>
      </c>
      <c r="C44" s="193">
        <f>SUM('Result Report USD'!D39:D40)</f>
        <v>624.01685499058374</v>
      </c>
      <c r="D44" s="193">
        <f>'Result Report USD'!D41</f>
        <v>1370.2433010492332</v>
      </c>
      <c r="E44" s="193">
        <f>'Result Report USD'!D42</f>
        <v>461.07101156846915</v>
      </c>
      <c r="F44" s="193">
        <f>'Result Report USD'!D43</f>
        <v>287.27263922518159</v>
      </c>
      <c r="G44" s="194">
        <f>'Result Report USD'!D44</f>
        <v>52.406537530266348</v>
      </c>
      <c r="H44" s="194">
        <f>SUM(B44:G44)</f>
        <v>5540.5943637341934</v>
      </c>
      <c r="I44" s="343"/>
      <c r="J44" s="343"/>
      <c r="K44" s="343"/>
      <c r="L44" s="343"/>
      <c r="M44" s="344"/>
      <c r="N44" s="124"/>
      <c r="O44" s="124"/>
    </row>
    <row r="45" spans="1:15" ht="24">
      <c r="A45" s="192">
        <v>2016</v>
      </c>
      <c r="B45" s="193">
        <f>'Result Report USD'!L38</f>
        <v>2509.3971428571426</v>
      </c>
      <c r="C45" s="193">
        <f>SUM('Result Report USD'!L39:L40)</f>
        <v>516.68595238095236</v>
      </c>
      <c r="D45" s="193">
        <f>'Result Report USD'!L41</f>
        <v>1406.6924999999997</v>
      </c>
      <c r="E45" s="193">
        <f>'Result Report USD'!L42</f>
        <v>396.3538095238095</v>
      </c>
      <c r="F45" s="194">
        <f>'Result Report USD'!L43</f>
        <v>365.52142857142854</v>
      </c>
      <c r="G45" s="194">
        <f>'Result Report USD'!L44</f>
        <v>84.897142857142853</v>
      </c>
      <c r="H45" s="194">
        <f>SUM(B45:G45)</f>
        <v>5279.5479761904744</v>
      </c>
      <c r="I45" s="339"/>
      <c r="J45" s="339"/>
      <c r="K45" s="339"/>
      <c r="L45" s="339"/>
      <c r="M45" s="344"/>
      <c r="N45" s="124"/>
      <c r="O45" s="124"/>
    </row>
    <row r="46" spans="1:15" ht="24">
      <c r="A46" s="192">
        <v>2015</v>
      </c>
      <c r="B46" s="193">
        <v>2583</v>
      </c>
      <c r="C46" s="193">
        <v>440</v>
      </c>
      <c r="D46" s="193">
        <v>1092</v>
      </c>
      <c r="E46" s="193">
        <v>572</v>
      </c>
      <c r="F46" s="194">
        <v>392</v>
      </c>
      <c r="G46" s="194"/>
      <c r="H46" s="194">
        <f t="shared" ref="H45:H46" si="0">SUM(B46:G46)</f>
        <v>5079</v>
      </c>
      <c r="I46" s="339"/>
      <c r="J46" s="339"/>
      <c r="K46" s="339"/>
      <c r="L46" s="339"/>
      <c r="M46" s="344"/>
      <c r="N46" s="124"/>
      <c r="O46" s="124"/>
    </row>
    <row r="47" spans="1:15">
      <c r="G47" s="340"/>
      <c r="H47" s="341"/>
      <c r="I47" s="341"/>
      <c r="J47" s="341"/>
      <c r="K47" s="341"/>
      <c r="L47" s="341"/>
      <c r="M47" s="345"/>
    </row>
    <row r="48" spans="1:15">
      <c r="G48" s="340"/>
      <c r="H48" s="341"/>
      <c r="I48" s="341"/>
      <c r="J48" s="341"/>
      <c r="K48" s="341"/>
      <c r="L48" s="341"/>
    </row>
    <row r="49" spans="7:12">
      <c r="G49" s="340"/>
      <c r="H49" s="341"/>
      <c r="I49" s="341"/>
      <c r="J49" s="341"/>
      <c r="K49" s="341"/>
      <c r="L49" s="341"/>
    </row>
  </sheetData>
  <sortState ref="F51:H54">
    <sortCondition descending="1" ref="F51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124"/>
  <sheetViews>
    <sheetView zoomScale="140" zoomScaleNormal="140" zoomScalePageLayoutView="140" workbookViewId="0">
      <selection activeCell="B54" sqref="B54"/>
    </sheetView>
  </sheetViews>
  <sheetFormatPr baseColWidth="10" defaultColWidth="8.83203125" defaultRowHeight="15"/>
  <cols>
    <col min="1" max="1" width="1.6640625" style="7" customWidth="1"/>
    <col min="2" max="2" width="44.6640625" customWidth="1"/>
    <col min="3" max="3" width="14.83203125" customWidth="1"/>
    <col min="4" max="4" width="19" customWidth="1"/>
    <col min="5" max="5" width="20" customWidth="1"/>
    <col min="6" max="6" width="11.5" style="7" customWidth="1"/>
    <col min="7" max="7" width="9.83203125" style="7" bestFit="1" customWidth="1"/>
    <col min="8" max="8" width="13.33203125" style="7" customWidth="1"/>
    <col min="9" max="9" width="8.83203125" style="7"/>
    <col min="10" max="10" width="11" style="7" customWidth="1"/>
    <col min="11" max="12" width="8.83203125" style="7"/>
    <col min="13" max="13" width="12.83203125" style="7" bestFit="1" customWidth="1"/>
    <col min="14" max="17" width="8.83203125" style="7"/>
    <col min="18" max="18" width="45.5" style="7" customWidth="1"/>
    <col min="19" max="19" width="17" style="7" customWidth="1"/>
    <col min="20" max="20" width="12.83203125" style="7" bestFit="1" customWidth="1"/>
    <col min="21" max="21" width="11.5" style="7" customWidth="1"/>
    <col min="22" max="24" width="8.83203125" style="7"/>
  </cols>
  <sheetData>
    <row r="1" spans="1:24" ht="16" thickBot="1">
      <c r="B1" s="7"/>
      <c r="C1" s="7"/>
      <c r="D1" s="7" t="s">
        <v>2</v>
      </c>
      <c r="E1" s="7" t="s">
        <v>2</v>
      </c>
      <c r="G1" s="43">
        <f>+'Reporting Main'!E6</f>
        <v>8.26</v>
      </c>
    </row>
    <row r="2" spans="1:24" ht="16" thickBot="1">
      <c r="B2" s="315" t="s">
        <v>70</v>
      </c>
      <c r="C2" s="317" t="s">
        <v>84</v>
      </c>
      <c r="D2" s="319" t="s">
        <v>72</v>
      </c>
      <c r="E2" s="319" t="s">
        <v>73</v>
      </c>
      <c r="R2" s="285" t="s">
        <v>159</v>
      </c>
      <c r="S2" s="286"/>
      <c r="T2" s="286"/>
      <c r="U2" s="287"/>
    </row>
    <row r="3" spans="1:24" ht="15.75" customHeight="1">
      <c r="B3" s="316"/>
      <c r="C3" s="318"/>
      <c r="D3" s="320"/>
      <c r="E3" s="320"/>
      <c r="M3" s="58"/>
      <c r="R3" s="288" t="s">
        <v>70</v>
      </c>
      <c r="S3" s="291" t="s">
        <v>84</v>
      </c>
      <c r="T3" s="291" t="s">
        <v>145</v>
      </c>
      <c r="U3" s="66"/>
    </row>
    <row r="4" spans="1:24" s="56" customFormat="1" ht="15.75" customHeight="1">
      <c r="A4" s="7"/>
      <c r="B4" s="307" t="s">
        <v>157</v>
      </c>
      <c r="C4" s="308"/>
      <c r="D4" s="308"/>
      <c r="E4" s="309"/>
      <c r="F4" s="7"/>
      <c r="G4" s="7"/>
      <c r="H4" s="7"/>
      <c r="I4" s="7"/>
      <c r="J4" s="7"/>
      <c r="K4" s="7"/>
      <c r="L4" s="7"/>
      <c r="M4" s="58"/>
      <c r="N4" s="7"/>
      <c r="O4" s="7"/>
      <c r="P4" s="7"/>
      <c r="Q4" s="7"/>
      <c r="R4" s="289"/>
      <c r="S4" s="292"/>
      <c r="T4" s="292"/>
      <c r="U4" s="284"/>
      <c r="V4" s="7"/>
      <c r="W4" s="7"/>
      <c r="X4" s="7"/>
    </row>
    <row r="5" spans="1:24" s="56" customFormat="1" ht="15.75" customHeight="1">
      <c r="A5" s="7"/>
      <c r="B5" s="213" t="s">
        <v>284</v>
      </c>
      <c r="C5" s="214" t="s">
        <v>119</v>
      </c>
      <c r="D5" s="215">
        <v>82614</v>
      </c>
      <c r="E5" s="215">
        <v>10001.694915254238</v>
      </c>
      <c r="F5" s="7"/>
      <c r="G5" s="7"/>
      <c r="H5" s="7"/>
      <c r="I5" s="7"/>
      <c r="J5" s="7"/>
      <c r="K5" s="7"/>
      <c r="L5" s="7"/>
      <c r="M5" s="58"/>
      <c r="N5" s="7"/>
      <c r="O5" s="7"/>
      <c r="P5" s="7"/>
      <c r="Q5" s="7"/>
      <c r="R5" s="289"/>
      <c r="S5" s="292"/>
      <c r="T5" s="292"/>
      <c r="U5" s="284"/>
      <c r="V5" s="7"/>
      <c r="W5" s="7"/>
      <c r="X5" s="7"/>
    </row>
    <row r="6" spans="1:24" s="56" customFormat="1" ht="15.75" customHeight="1">
      <c r="A6" s="7"/>
      <c r="B6" s="213" t="s">
        <v>285</v>
      </c>
      <c r="C6" s="214" t="s">
        <v>119</v>
      </c>
      <c r="D6" s="215">
        <v>83885</v>
      </c>
      <c r="E6" s="215">
        <v>10155.569007263923</v>
      </c>
      <c r="F6" s="7"/>
      <c r="G6" s="7"/>
      <c r="H6" s="7"/>
      <c r="I6" s="7"/>
      <c r="J6" s="7"/>
      <c r="K6" s="7"/>
      <c r="L6" s="7"/>
      <c r="M6" s="58"/>
      <c r="N6" s="7"/>
      <c r="O6" s="7"/>
      <c r="P6" s="7"/>
      <c r="Q6" s="7"/>
      <c r="R6" s="289"/>
      <c r="S6" s="292"/>
      <c r="T6" s="292"/>
      <c r="U6" s="284"/>
      <c r="V6" s="7"/>
      <c r="W6" s="7"/>
      <c r="X6" s="7"/>
    </row>
    <row r="7" spans="1:24" s="56" customFormat="1" ht="15.75" customHeight="1">
      <c r="A7" s="7"/>
      <c r="B7" s="213" t="s">
        <v>286</v>
      </c>
      <c r="C7" s="214" t="s">
        <v>119</v>
      </c>
      <c r="D7" s="215">
        <v>82396</v>
      </c>
      <c r="E7" s="215">
        <v>9975.3026634382568</v>
      </c>
      <c r="F7" s="7"/>
      <c r="G7" s="7"/>
      <c r="H7" s="7"/>
      <c r="I7" s="7"/>
      <c r="J7" s="7"/>
      <c r="K7" s="7"/>
      <c r="L7" s="7"/>
      <c r="M7" s="58"/>
      <c r="N7" s="7"/>
      <c r="O7" s="7"/>
      <c r="P7" s="7"/>
      <c r="Q7" s="7"/>
      <c r="R7" s="289"/>
      <c r="S7" s="292"/>
      <c r="T7" s="292"/>
      <c r="U7" s="284"/>
      <c r="V7" s="7"/>
      <c r="W7" s="7"/>
      <c r="X7" s="7"/>
    </row>
    <row r="8" spans="1:24" s="56" customFormat="1" ht="15.75" customHeight="1">
      <c r="A8" s="7"/>
      <c r="B8" s="213" t="s">
        <v>287</v>
      </c>
      <c r="C8" s="214" t="s">
        <v>119</v>
      </c>
      <c r="D8" s="215">
        <v>81622</v>
      </c>
      <c r="E8" s="215">
        <v>9881.5980629539954</v>
      </c>
      <c r="F8" s="7"/>
      <c r="G8" s="7"/>
      <c r="H8" s="7"/>
      <c r="I8" s="7"/>
      <c r="J8" s="7"/>
      <c r="K8" s="7"/>
      <c r="L8" s="7"/>
      <c r="M8" s="58"/>
      <c r="N8" s="7"/>
      <c r="O8" s="7"/>
      <c r="P8" s="7"/>
      <c r="Q8" s="7"/>
      <c r="R8" s="289"/>
      <c r="S8" s="292"/>
      <c r="T8" s="292"/>
      <c r="U8" s="284"/>
      <c r="V8" s="7"/>
      <c r="W8" s="7"/>
      <c r="X8" s="7"/>
    </row>
    <row r="9" spans="1:24" s="56" customFormat="1" ht="15.75" customHeight="1">
      <c r="A9" s="7"/>
      <c r="B9" s="213" t="s">
        <v>288</v>
      </c>
      <c r="C9" s="214" t="s">
        <v>119</v>
      </c>
      <c r="D9" s="215">
        <v>84514.62</v>
      </c>
      <c r="E9" s="215">
        <v>10231.794188861984</v>
      </c>
      <c r="F9" s="7"/>
      <c r="G9" s="7"/>
      <c r="H9" s="7"/>
      <c r="I9" s="7"/>
      <c r="J9" s="7"/>
      <c r="K9" s="7"/>
      <c r="L9" s="7"/>
      <c r="M9" s="58"/>
      <c r="N9" s="7"/>
      <c r="O9" s="7"/>
      <c r="P9" s="7"/>
      <c r="Q9" s="7"/>
      <c r="R9" s="289"/>
      <c r="S9" s="292"/>
      <c r="T9" s="292"/>
      <c r="U9" s="284"/>
      <c r="V9" s="7"/>
      <c r="W9" s="7"/>
      <c r="X9" s="7"/>
    </row>
    <row r="10" spans="1:24" s="56" customFormat="1" ht="15.75" customHeight="1">
      <c r="A10" s="7"/>
      <c r="B10" s="213" t="s">
        <v>289</v>
      </c>
      <c r="C10" s="214" t="s">
        <v>119</v>
      </c>
      <c r="D10" s="215">
        <v>82699.42</v>
      </c>
      <c r="E10" s="215">
        <v>10012.036319612591</v>
      </c>
      <c r="F10" s="7"/>
      <c r="G10" s="7"/>
      <c r="H10" s="7"/>
      <c r="I10" s="7"/>
      <c r="J10" s="7"/>
      <c r="K10" s="7"/>
      <c r="L10" s="7"/>
      <c r="M10" s="58"/>
      <c r="N10" s="7"/>
      <c r="O10" s="7"/>
      <c r="P10" s="7"/>
      <c r="Q10" s="7"/>
      <c r="R10" s="289"/>
      <c r="S10" s="292"/>
      <c r="T10" s="292"/>
      <c r="U10" s="284"/>
      <c r="V10" s="7"/>
      <c r="W10" s="7"/>
      <c r="X10" s="7"/>
    </row>
    <row r="11" spans="1:24" s="56" customFormat="1" ht="15.75" customHeight="1">
      <c r="A11" s="7"/>
      <c r="B11" s="213" t="s">
        <v>290</v>
      </c>
      <c r="C11" s="214" t="s">
        <v>105</v>
      </c>
      <c r="D11" s="215">
        <v>215993.53</v>
      </c>
      <c r="E11" s="215">
        <v>26149.337772397095</v>
      </c>
      <c r="F11" s="7"/>
      <c r="G11" s="7"/>
      <c r="H11" s="7"/>
      <c r="I11" s="7"/>
      <c r="J11" s="7"/>
      <c r="K11" s="7"/>
      <c r="L11" s="7"/>
      <c r="M11" s="58"/>
      <c r="N11" s="7"/>
      <c r="O11" s="7"/>
      <c r="P11" s="7"/>
      <c r="Q11" s="7"/>
      <c r="R11" s="289"/>
      <c r="S11" s="292"/>
      <c r="T11" s="292"/>
      <c r="U11" s="284"/>
      <c r="V11" s="7"/>
      <c r="W11" s="7"/>
      <c r="X11" s="7"/>
    </row>
    <row r="12" spans="1:24" s="56" customFormat="1" ht="15.75" customHeight="1">
      <c r="A12" s="7"/>
      <c r="B12" s="213" t="s">
        <v>291</v>
      </c>
      <c r="C12" s="214" t="s">
        <v>119</v>
      </c>
      <c r="D12" s="215">
        <v>78714</v>
      </c>
      <c r="E12" s="215">
        <v>9529.53995157385</v>
      </c>
      <c r="F12" s="7"/>
      <c r="G12" s="7"/>
      <c r="H12" s="7"/>
      <c r="I12" s="7"/>
      <c r="J12" s="7"/>
      <c r="K12" s="7"/>
      <c r="L12" s="7"/>
      <c r="M12" s="58"/>
      <c r="N12" s="7"/>
      <c r="O12" s="7"/>
      <c r="P12" s="7"/>
      <c r="Q12" s="7"/>
      <c r="R12" s="289"/>
      <c r="S12" s="292"/>
      <c r="T12" s="292"/>
      <c r="U12" s="284"/>
      <c r="V12" s="7"/>
      <c r="W12" s="7"/>
      <c r="X12" s="7"/>
    </row>
    <row r="13" spans="1:24" s="56" customFormat="1" ht="15.75" customHeight="1">
      <c r="A13" s="7"/>
      <c r="B13" s="213" t="s">
        <v>292</v>
      </c>
      <c r="C13" s="214" t="s">
        <v>119</v>
      </c>
      <c r="D13" s="215">
        <v>78321</v>
      </c>
      <c r="E13" s="215">
        <v>9481.9612590799043</v>
      </c>
      <c r="F13" s="7"/>
      <c r="G13" s="7"/>
      <c r="H13" s="7"/>
      <c r="I13" s="7"/>
      <c r="J13" s="7"/>
      <c r="K13" s="7"/>
      <c r="L13" s="7"/>
      <c r="M13" s="58"/>
      <c r="N13" s="7"/>
      <c r="O13" s="7"/>
      <c r="P13" s="7"/>
      <c r="Q13" s="7"/>
      <c r="R13" s="289"/>
      <c r="S13" s="292"/>
      <c r="T13" s="292"/>
      <c r="U13" s="284"/>
      <c r="V13" s="7"/>
      <c r="W13" s="7"/>
      <c r="X13" s="7"/>
    </row>
    <row r="14" spans="1:24" s="56" customFormat="1" ht="15.75" customHeight="1">
      <c r="A14" s="7"/>
      <c r="B14" s="310" t="s">
        <v>157</v>
      </c>
      <c r="C14" s="311"/>
      <c r="D14" s="218">
        <f>SUM(D5:D13)</f>
        <v>870759.57</v>
      </c>
      <c r="E14" s="218">
        <f>SUM(E5:E13)</f>
        <v>105418.83414043585</v>
      </c>
      <c r="F14" s="7"/>
      <c r="G14" s="7"/>
      <c r="H14" s="7"/>
      <c r="I14" s="7"/>
      <c r="J14" s="7"/>
      <c r="K14" s="7"/>
      <c r="L14" s="7"/>
      <c r="M14" s="58"/>
      <c r="N14" s="7"/>
      <c r="O14" s="7"/>
      <c r="P14" s="7"/>
      <c r="Q14" s="7"/>
      <c r="R14" s="289"/>
      <c r="S14" s="292"/>
      <c r="T14" s="292"/>
      <c r="U14" s="284"/>
      <c r="V14" s="7"/>
      <c r="W14" s="7"/>
      <c r="X14" s="7"/>
    </row>
    <row r="15" spans="1:24" ht="15.75" customHeight="1" thickBot="1">
      <c r="B15" s="307" t="s">
        <v>257</v>
      </c>
      <c r="C15" s="308"/>
      <c r="D15" s="308"/>
      <c r="E15" s="309"/>
      <c r="M15" s="58"/>
      <c r="R15" s="290"/>
      <c r="S15" s="293"/>
      <c r="T15" s="293"/>
      <c r="U15" s="67" t="s">
        <v>150</v>
      </c>
    </row>
    <row r="16" spans="1:24" ht="15.75" customHeight="1" thickBot="1">
      <c r="B16" s="213" t="s">
        <v>228</v>
      </c>
      <c r="C16" s="214" t="s">
        <v>229</v>
      </c>
      <c r="D16" s="215">
        <v>2228113.585</v>
      </c>
      <c r="E16" s="215">
        <v>269747.40738498792</v>
      </c>
      <c r="F16" s="92"/>
      <c r="G16" s="57"/>
      <c r="I16" s="93"/>
      <c r="J16" s="40"/>
      <c r="K16" s="40"/>
      <c r="L16" s="96"/>
      <c r="M16" s="58"/>
      <c r="R16" s="304" t="s">
        <v>74</v>
      </c>
      <c r="S16" s="305"/>
      <c r="T16" s="306"/>
      <c r="U16" s="72"/>
    </row>
    <row r="17" spans="1:24" s="56" customFormat="1" ht="15.75" customHeight="1" thickBot="1">
      <c r="A17" s="7"/>
      <c r="B17" s="213" t="s">
        <v>230</v>
      </c>
      <c r="C17" s="214" t="s">
        <v>231</v>
      </c>
      <c r="D17" s="215">
        <v>985489.6</v>
      </c>
      <c r="E17" s="215">
        <v>119308.66828087167</v>
      </c>
      <c r="F17" s="92"/>
      <c r="G17" s="57"/>
      <c r="H17" s="7"/>
      <c r="I17" s="92"/>
      <c r="J17" s="7"/>
      <c r="K17" s="7"/>
      <c r="L17" s="96"/>
      <c r="M17" s="58"/>
      <c r="N17" s="7"/>
      <c r="O17" s="7"/>
      <c r="P17" s="7"/>
      <c r="Q17" s="7"/>
      <c r="R17" s="39" t="s">
        <v>182</v>
      </c>
      <c r="S17" s="68" t="s">
        <v>183</v>
      </c>
      <c r="T17" s="69">
        <f>350000/1.32</f>
        <v>265151.51515151514</v>
      </c>
      <c r="U17" s="69" t="s">
        <v>149</v>
      </c>
      <c r="V17" s="7"/>
      <c r="W17" s="7"/>
      <c r="X17" s="7"/>
    </row>
    <row r="18" spans="1:24" ht="15.75" customHeight="1" thickBot="1">
      <c r="B18" s="213" t="s">
        <v>232</v>
      </c>
      <c r="C18" s="214" t="s">
        <v>233</v>
      </c>
      <c r="D18" s="215">
        <v>-794066</v>
      </c>
      <c r="E18" s="215">
        <v>-96133.898305084746</v>
      </c>
      <c r="F18" s="92"/>
      <c r="I18" s="92"/>
      <c r="L18" s="96"/>
      <c r="M18" s="58"/>
      <c r="R18" s="39" t="s">
        <v>134</v>
      </c>
      <c r="S18" s="68" t="s">
        <v>153</v>
      </c>
      <c r="T18" s="69">
        <f>+V18/8.25</f>
        <v>218181.81818181818</v>
      </c>
      <c r="U18" s="69" t="s">
        <v>147</v>
      </c>
      <c r="V18" s="7">
        <f>200000*9</f>
        <v>1800000</v>
      </c>
    </row>
    <row r="19" spans="1:24" ht="15.75" customHeight="1" thickBot="1">
      <c r="B19" s="213" t="s">
        <v>13</v>
      </c>
      <c r="C19" s="214" t="s">
        <v>234</v>
      </c>
      <c r="D19" s="215">
        <v>851492</v>
      </c>
      <c r="E19" s="215">
        <v>103086.19854721549</v>
      </c>
      <c r="F19" s="92"/>
      <c r="G19" s="57"/>
      <c r="I19" s="92"/>
      <c r="L19" s="96"/>
      <c r="R19" s="39" t="s">
        <v>152</v>
      </c>
      <c r="S19" s="68" t="s">
        <v>151</v>
      </c>
      <c r="T19" s="69">
        <v>29850</v>
      </c>
      <c r="U19" s="69" t="s">
        <v>147</v>
      </c>
    </row>
    <row r="20" spans="1:24" s="56" customFormat="1" ht="15.75" customHeight="1" thickBot="1">
      <c r="A20" s="7"/>
      <c r="B20" s="213" t="s">
        <v>235</v>
      </c>
      <c r="C20" s="214" t="s">
        <v>75</v>
      </c>
      <c r="D20" s="215">
        <v>2482000.3333333335</v>
      </c>
      <c r="E20" s="215">
        <v>300484.30185633578</v>
      </c>
      <c r="F20" s="92"/>
      <c r="G20" s="57"/>
      <c r="H20" s="7"/>
      <c r="I20" s="92"/>
      <c r="J20" s="7"/>
      <c r="K20" s="7"/>
      <c r="L20" s="96"/>
      <c r="M20" s="7"/>
      <c r="N20" s="7"/>
      <c r="O20" s="7"/>
      <c r="P20" s="7"/>
      <c r="Q20" s="7"/>
      <c r="R20" s="39" t="s">
        <v>141</v>
      </c>
      <c r="S20" s="68" t="s">
        <v>75</v>
      </c>
      <c r="T20" s="69">
        <f t="shared" ref="T20:T27" si="0">+V20/8.25</f>
        <v>290909.09090909088</v>
      </c>
      <c r="U20" s="69" t="s">
        <v>147</v>
      </c>
      <c r="V20" s="7">
        <v>2400000</v>
      </c>
      <c r="W20" s="7"/>
      <c r="X20" s="7"/>
    </row>
    <row r="21" spans="1:24" s="56" customFormat="1" ht="15.75" customHeight="1" thickBot="1">
      <c r="A21" s="7"/>
      <c r="B21" s="213" t="s">
        <v>236</v>
      </c>
      <c r="C21" s="214" t="s">
        <v>237</v>
      </c>
      <c r="D21" s="215">
        <v>1240999.6666666667</v>
      </c>
      <c r="E21" s="215">
        <v>150242.09039548025</v>
      </c>
      <c r="F21" s="92"/>
      <c r="G21" s="57"/>
      <c r="H21" s="7"/>
      <c r="I21" s="93"/>
      <c r="J21" s="40"/>
      <c r="K21" s="40"/>
      <c r="L21" s="96"/>
      <c r="M21" s="7"/>
      <c r="N21" s="7"/>
      <c r="O21" s="7"/>
      <c r="P21" s="7"/>
      <c r="Q21" s="7"/>
      <c r="R21" s="39" t="s">
        <v>155</v>
      </c>
      <c r="S21" s="68" t="s">
        <v>156</v>
      </c>
      <c r="T21" s="69">
        <f t="shared" si="0"/>
        <v>163636.36363636365</v>
      </c>
      <c r="U21" s="69" t="s">
        <v>147</v>
      </c>
      <c r="V21" s="7">
        <f>150000*9</f>
        <v>1350000</v>
      </c>
      <c r="W21" s="7"/>
      <c r="X21" s="7"/>
    </row>
    <row r="22" spans="1:24" s="56" customFormat="1" ht="15.75" customHeight="1" thickBot="1">
      <c r="A22" s="7"/>
      <c r="B22" s="213" t="s">
        <v>238</v>
      </c>
      <c r="C22" s="214" t="s">
        <v>239</v>
      </c>
      <c r="D22" s="215">
        <v>2541642</v>
      </c>
      <c r="E22" s="215">
        <v>307704.84261501214</v>
      </c>
      <c r="F22" s="92"/>
      <c r="G22" s="57"/>
      <c r="H22" s="7"/>
      <c r="I22" s="92"/>
      <c r="J22" s="7"/>
      <c r="K22" s="7"/>
      <c r="L22" s="96"/>
      <c r="M22" s="7"/>
      <c r="N22" s="7"/>
      <c r="O22" s="7"/>
      <c r="P22" s="7"/>
      <c r="Q22" s="7"/>
      <c r="R22" s="39" t="s">
        <v>133</v>
      </c>
      <c r="S22" s="68" t="s">
        <v>112</v>
      </c>
      <c r="T22" s="74">
        <f t="shared" si="0"/>
        <v>409090.90909090912</v>
      </c>
      <c r="U22" s="69" t="s">
        <v>148</v>
      </c>
      <c r="V22" s="7">
        <f>9*375000</f>
        <v>3375000</v>
      </c>
      <c r="W22" s="7"/>
      <c r="X22" s="7"/>
    </row>
    <row r="23" spans="1:24" ht="16" thickBot="1">
      <c r="B23" s="213" t="s">
        <v>240</v>
      </c>
      <c r="C23" s="214" t="s">
        <v>241</v>
      </c>
      <c r="D23" s="215">
        <v>1618359</v>
      </c>
      <c r="E23" s="215">
        <v>195927.23970944309</v>
      </c>
      <c r="F23" s="92"/>
      <c r="I23" s="92"/>
      <c r="L23" s="96"/>
      <c r="R23" s="39" t="s">
        <v>142</v>
      </c>
      <c r="S23" s="68" t="s">
        <v>139</v>
      </c>
      <c r="T23" s="69">
        <f t="shared" si="0"/>
        <v>199636.36363636365</v>
      </c>
      <c r="U23" s="69" t="s">
        <v>149</v>
      </c>
      <c r="V23" s="7">
        <f>183000*9</f>
        <v>1647000</v>
      </c>
    </row>
    <row r="24" spans="1:24" ht="16" thickBot="1">
      <c r="B24" s="213" t="s">
        <v>123</v>
      </c>
      <c r="C24" s="214" t="s">
        <v>242</v>
      </c>
      <c r="D24" s="215">
        <v>571429</v>
      </c>
      <c r="E24" s="215">
        <v>69180.266343825671</v>
      </c>
      <c r="F24" s="92"/>
      <c r="G24" s="57"/>
      <c r="I24" s="92"/>
      <c r="L24" s="96"/>
      <c r="R24" s="39" t="s">
        <v>124</v>
      </c>
      <c r="S24" s="68" t="s">
        <v>146</v>
      </c>
      <c r="T24" s="74">
        <f t="shared" si="0"/>
        <v>207272.72727272726</v>
      </c>
      <c r="U24" s="69" t="s">
        <v>148</v>
      </c>
      <c r="V24" s="7">
        <f>9*190000</f>
        <v>1710000</v>
      </c>
    </row>
    <row r="25" spans="1:24" ht="15.75" customHeight="1" thickBot="1">
      <c r="B25" s="213" t="s">
        <v>243</v>
      </c>
      <c r="C25" s="214" t="s">
        <v>146</v>
      </c>
      <c r="D25" s="215">
        <v>1776385</v>
      </c>
      <c r="E25" s="215">
        <v>215058.71670702178</v>
      </c>
      <c r="F25" s="92"/>
      <c r="G25" s="57"/>
      <c r="I25" s="92"/>
      <c r="L25" s="96"/>
      <c r="R25" s="39" t="s">
        <v>127</v>
      </c>
      <c r="S25" s="68" t="s">
        <v>154</v>
      </c>
      <c r="T25" s="69">
        <f t="shared" si="0"/>
        <v>272727.27272727271</v>
      </c>
      <c r="U25" s="69" t="s">
        <v>149</v>
      </c>
      <c r="V25" s="7">
        <f>250000*9</f>
        <v>2250000</v>
      </c>
    </row>
    <row r="26" spans="1:24" s="56" customFormat="1" ht="15.75" customHeight="1" thickBot="1">
      <c r="A26" s="7"/>
      <c r="B26" s="213" t="s">
        <v>244</v>
      </c>
      <c r="C26" s="214" t="s">
        <v>245</v>
      </c>
      <c r="D26" s="215">
        <v>2097607.17</v>
      </c>
      <c r="E26" s="215">
        <v>253947.59927360775</v>
      </c>
      <c r="F26" s="92"/>
      <c r="G26" s="57"/>
      <c r="H26" s="7"/>
      <c r="I26" s="92"/>
      <c r="J26" s="7"/>
      <c r="K26" s="7"/>
      <c r="L26" s="96"/>
      <c r="M26" s="7"/>
      <c r="N26" s="7"/>
      <c r="O26" s="7"/>
      <c r="P26" s="7"/>
      <c r="Q26" s="7"/>
      <c r="R26" s="39" t="s">
        <v>138</v>
      </c>
      <c r="S26" s="68" t="s">
        <v>186</v>
      </c>
      <c r="T26" s="69">
        <f t="shared" si="0"/>
        <v>387878.7878787879</v>
      </c>
      <c r="U26" s="69" t="s">
        <v>149</v>
      </c>
      <c r="V26" s="7">
        <v>3200000</v>
      </c>
      <c r="W26" s="7"/>
      <c r="X26" s="7"/>
    </row>
    <row r="27" spans="1:24" s="56" customFormat="1" ht="15.75" customHeight="1" thickBot="1">
      <c r="A27" s="7"/>
      <c r="B27" s="213" t="s">
        <v>246</v>
      </c>
      <c r="C27" s="214" t="s">
        <v>186</v>
      </c>
      <c r="D27" s="215">
        <v>3200000</v>
      </c>
      <c r="E27" s="215">
        <v>387409.20096852299</v>
      </c>
      <c r="F27" s="92"/>
      <c r="G27" s="57"/>
      <c r="H27" s="7"/>
      <c r="I27" s="92"/>
      <c r="J27" s="7"/>
      <c r="K27" s="7"/>
      <c r="L27" s="96"/>
      <c r="M27" s="7"/>
      <c r="N27" s="7"/>
      <c r="O27" s="7"/>
      <c r="P27" s="7"/>
      <c r="Q27" s="7"/>
      <c r="R27" s="39" t="s">
        <v>129</v>
      </c>
      <c r="S27" s="68" t="s">
        <v>96</v>
      </c>
      <c r="T27" s="74">
        <f t="shared" si="0"/>
        <v>287878.7878787879</v>
      </c>
      <c r="U27" s="69" t="s">
        <v>147</v>
      </c>
      <c r="V27" s="7">
        <f>2500000*0.95</f>
        <v>2375000</v>
      </c>
      <c r="W27" s="7"/>
      <c r="X27" s="7"/>
    </row>
    <row r="28" spans="1:24" ht="15.75" customHeight="1" thickBot="1">
      <c r="B28" s="213" t="s">
        <v>129</v>
      </c>
      <c r="C28" s="214" t="s">
        <v>96</v>
      </c>
      <c r="D28" s="215">
        <v>2433445</v>
      </c>
      <c r="E28" s="215">
        <v>294605.93220338982</v>
      </c>
      <c r="F28" s="92"/>
      <c r="G28" s="57"/>
      <c r="I28" s="92"/>
      <c r="L28" s="96"/>
      <c r="R28" s="39" t="s">
        <v>144</v>
      </c>
      <c r="S28" s="68" t="s">
        <v>143</v>
      </c>
      <c r="T28" s="74">
        <f>+V28/8.25</f>
        <v>257575.75757575757</v>
      </c>
      <c r="U28" s="69" t="s">
        <v>147</v>
      </c>
      <c r="V28" s="7">
        <f>250000*8.5</f>
        <v>2125000</v>
      </c>
    </row>
    <row r="29" spans="1:24" s="56" customFormat="1" ht="15.75" customHeight="1" thickBot="1">
      <c r="A29" s="7"/>
      <c r="B29" s="213" t="s">
        <v>247</v>
      </c>
      <c r="C29" s="214" t="s">
        <v>170</v>
      </c>
      <c r="D29" s="215">
        <v>1561968.75</v>
      </c>
      <c r="E29" s="215">
        <v>189100.33292978207</v>
      </c>
      <c r="F29" s="92"/>
      <c r="G29" s="57"/>
      <c r="H29" s="7"/>
      <c r="I29" s="92"/>
      <c r="J29" s="7"/>
      <c r="K29" s="7"/>
      <c r="L29" s="96"/>
      <c r="M29" s="7"/>
      <c r="N29" s="7"/>
      <c r="O29" s="7"/>
      <c r="P29" s="7"/>
      <c r="Q29" s="7"/>
      <c r="R29" s="39" t="s">
        <v>140</v>
      </c>
      <c r="S29" s="68" t="s">
        <v>77</v>
      </c>
      <c r="T29" s="69">
        <f>+V29/8.25</f>
        <v>206060.60606060605</v>
      </c>
      <c r="U29" s="69" t="s">
        <v>147</v>
      </c>
      <c r="V29" s="7">
        <f>200000*8.5</f>
        <v>1700000</v>
      </c>
      <c r="W29" s="7"/>
      <c r="X29" s="7"/>
    </row>
    <row r="30" spans="1:24" ht="16" thickBot="1">
      <c r="B30" s="213" t="s">
        <v>76</v>
      </c>
      <c r="C30" s="214" t="s">
        <v>143</v>
      </c>
      <c r="D30" s="215">
        <v>2035500</v>
      </c>
      <c r="E30" s="215">
        <v>246428.57142857145</v>
      </c>
      <c r="F30" s="92"/>
      <c r="G30" s="57"/>
      <c r="I30" s="92"/>
      <c r="L30" s="96"/>
      <c r="R30" s="39" t="s">
        <v>130</v>
      </c>
      <c r="S30" s="68" t="s">
        <v>132</v>
      </c>
      <c r="T30" s="74">
        <f>+V30/8.25</f>
        <v>173939.39393939395</v>
      </c>
      <c r="U30" s="69" t="s">
        <v>147</v>
      </c>
      <c r="V30" s="7">
        <v>1435000</v>
      </c>
    </row>
    <row r="31" spans="1:24" ht="16" thickBot="1">
      <c r="B31" s="213" t="s">
        <v>130</v>
      </c>
      <c r="C31" s="214" t="s">
        <v>132</v>
      </c>
      <c r="D31" s="215">
        <v>1461576</v>
      </c>
      <c r="E31" s="215">
        <v>176946.24697336563</v>
      </c>
      <c r="F31" s="92"/>
      <c r="G31" s="57"/>
      <c r="I31" s="93"/>
      <c r="J31" s="40"/>
      <c r="K31" s="40"/>
      <c r="L31" s="96"/>
      <c r="R31" s="39" t="s">
        <v>131</v>
      </c>
      <c r="S31" s="68" t="s">
        <v>187</v>
      </c>
      <c r="T31" s="74">
        <f>+V31/8.25</f>
        <v>296969.69696969696</v>
      </c>
      <c r="U31" s="69" t="s">
        <v>188</v>
      </c>
      <c r="V31" s="7">
        <v>2450000</v>
      </c>
    </row>
    <row r="32" spans="1:24" ht="16" thickBot="1">
      <c r="B32" s="213" t="s">
        <v>248</v>
      </c>
      <c r="C32" s="214" t="s">
        <v>249</v>
      </c>
      <c r="D32" s="215">
        <v>1649525</v>
      </c>
      <c r="E32" s="215">
        <v>199700.36319612592</v>
      </c>
      <c r="F32" s="92"/>
      <c r="G32" s="57"/>
      <c r="H32" s="40"/>
      <c r="I32" s="92"/>
      <c r="L32" s="96"/>
      <c r="R32" s="39" t="s">
        <v>176</v>
      </c>
      <c r="S32" s="68" t="s">
        <v>163</v>
      </c>
      <c r="T32" s="74">
        <f>+V32/8.25</f>
        <v>58181.818181818184</v>
      </c>
      <c r="U32" s="69" t="s">
        <v>188</v>
      </c>
      <c r="V32" s="7">
        <v>480000</v>
      </c>
    </row>
    <row r="33" spans="1:24" s="56" customFormat="1" ht="16" thickBot="1">
      <c r="A33" s="7"/>
      <c r="B33" s="213" t="s">
        <v>248</v>
      </c>
      <c r="C33" s="214" t="s">
        <v>250</v>
      </c>
      <c r="D33" s="215">
        <v>786850</v>
      </c>
      <c r="E33" s="215">
        <v>95260.290556900727</v>
      </c>
      <c r="F33" s="92"/>
      <c r="G33" s="7"/>
      <c r="H33" s="40"/>
      <c r="I33" s="7"/>
      <c r="J33" s="7"/>
      <c r="K33" s="7"/>
      <c r="L33" s="7"/>
      <c r="M33" s="7"/>
      <c r="N33" s="7"/>
      <c r="O33" s="7"/>
      <c r="P33" s="7"/>
      <c r="Q33" s="7"/>
      <c r="R33" s="39" t="s">
        <v>161</v>
      </c>
      <c r="S33" s="68" t="s">
        <v>113</v>
      </c>
      <c r="T33" s="75">
        <v>500000</v>
      </c>
      <c r="U33" s="69" t="s">
        <v>147</v>
      </c>
      <c r="V33" s="7"/>
      <c r="W33" s="7"/>
      <c r="X33" s="7"/>
    </row>
    <row r="34" spans="1:24" s="56" customFormat="1" ht="16" thickBot="1">
      <c r="A34" s="7"/>
      <c r="B34" s="213" t="s">
        <v>131</v>
      </c>
      <c r="C34" s="214" t="s">
        <v>187</v>
      </c>
      <c r="D34" s="215">
        <v>2578576</v>
      </c>
      <c r="E34" s="215">
        <v>312176.27118644066</v>
      </c>
      <c r="F34" s="92"/>
      <c r="G34" s="7"/>
      <c r="H34" s="40"/>
      <c r="I34" s="7"/>
      <c r="J34" s="7"/>
      <c r="K34" s="7"/>
      <c r="L34" s="7"/>
      <c r="M34" s="7"/>
      <c r="N34" s="7"/>
      <c r="O34" s="7"/>
      <c r="P34" s="7"/>
      <c r="Q34" s="7"/>
      <c r="R34" s="39" t="s">
        <v>137</v>
      </c>
      <c r="S34" s="68" t="s">
        <v>128</v>
      </c>
      <c r="T34" s="74">
        <v>150000</v>
      </c>
      <c r="U34" s="69" t="s">
        <v>147</v>
      </c>
      <c r="V34" s="7"/>
      <c r="W34" s="7"/>
      <c r="X34" s="7"/>
    </row>
    <row r="35" spans="1:24" ht="16" thickBot="1">
      <c r="B35" s="213" t="s">
        <v>251</v>
      </c>
      <c r="C35" s="214" t="s">
        <v>252</v>
      </c>
      <c r="D35" s="215">
        <v>1558730</v>
      </c>
      <c r="E35" s="215">
        <v>188708.23244552058</v>
      </c>
      <c r="F35" s="92"/>
      <c r="H35" s="40"/>
      <c r="I35" s="40"/>
      <c r="J35" s="40"/>
      <c r="K35" s="40"/>
      <c r="L35" s="40"/>
      <c r="R35" s="39" t="s">
        <v>136</v>
      </c>
      <c r="S35" s="68" t="s">
        <v>135</v>
      </c>
      <c r="T35" s="74">
        <v>170000</v>
      </c>
      <c r="U35" s="69" t="s">
        <v>147</v>
      </c>
    </row>
    <row r="36" spans="1:24" s="56" customFormat="1" ht="16" thickBot="1">
      <c r="A36" s="7"/>
      <c r="B36" s="213" t="s">
        <v>176</v>
      </c>
      <c r="C36" s="214" t="s">
        <v>163</v>
      </c>
      <c r="D36" s="215">
        <v>488890</v>
      </c>
      <c r="E36" s="215">
        <v>59187.651331719127</v>
      </c>
      <c r="F36" s="92"/>
      <c r="G36" s="57"/>
      <c r="H36" s="40"/>
      <c r="I36" s="40"/>
      <c r="J36" s="40"/>
      <c r="K36" s="40"/>
      <c r="L36" s="40"/>
      <c r="M36" s="7"/>
      <c r="N36" s="7"/>
      <c r="O36" s="7"/>
      <c r="P36" s="7"/>
      <c r="Q36" s="7"/>
      <c r="R36" s="76"/>
      <c r="S36" s="70" t="s">
        <v>1</v>
      </c>
      <c r="T36" s="71">
        <f>SUM(T17:T35)</f>
        <v>4544940.9090909101</v>
      </c>
      <c r="U36" s="77"/>
      <c r="V36" s="7"/>
      <c r="W36" s="7"/>
      <c r="X36" s="7"/>
    </row>
    <row r="37" spans="1:24" ht="16" thickTop="1">
      <c r="B37" s="213" t="s">
        <v>253</v>
      </c>
      <c r="C37" s="214" t="s">
        <v>128</v>
      </c>
      <c r="D37" s="215">
        <v>976225</v>
      </c>
      <c r="E37" s="215">
        <v>118187.04600484262</v>
      </c>
      <c r="F37" s="92"/>
      <c r="H37" s="40"/>
      <c r="I37" s="40"/>
      <c r="J37" s="40"/>
      <c r="K37" s="40"/>
      <c r="L37" s="40"/>
      <c r="R37" s="32"/>
      <c r="S37" s="40"/>
      <c r="T37" s="40"/>
      <c r="U37" s="60"/>
    </row>
    <row r="38" spans="1:24" ht="15.75" customHeight="1">
      <c r="B38" s="213" t="s">
        <v>254</v>
      </c>
      <c r="C38" s="214" t="s">
        <v>255</v>
      </c>
      <c r="D38" s="215">
        <v>2849565</v>
      </c>
      <c r="E38" s="215">
        <v>344983.65617433417</v>
      </c>
      <c r="F38" s="92"/>
      <c r="G38" s="57"/>
      <c r="H38" s="40"/>
      <c r="I38" s="40"/>
      <c r="J38" s="40"/>
      <c r="K38" s="40"/>
      <c r="L38" s="40"/>
      <c r="R38" s="78" t="s">
        <v>157</v>
      </c>
      <c r="S38" s="79"/>
      <c r="T38" s="80">
        <v>150000</v>
      </c>
      <c r="U38" s="60"/>
    </row>
    <row r="39" spans="1:24" s="56" customFormat="1" ht="15.75" customHeight="1">
      <c r="A39" s="7"/>
      <c r="B39" s="213" t="s">
        <v>89</v>
      </c>
      <c r="C39" s="214" t="s">
        <v>256</v>
      </c>
      <c r="D39" s="215">
        <v>1516530</v>
      </c>
      <c r="E39" s="215">
        <v>183599.27360774818</v>
      </c>
      <c r="F39" s="92"/>
      <c r="G39" s="57"/>
      <c r="H39" s="40"/>
      <c r="I39" s="40"/>
      <c r="J39" s="40"/>
      <c r="K39" s="40"/>
      <c r="L39" s="40"/>
      <c r="M39" s="7"/>
      <c r="N39" s="7"/>
      <c r="O39" s="7"/>
      <c r="P39" s="7"/>
      <c r="Q39" s="7"/>
      <c r="R39" s="78"/>
      <c r="S39" s="79"/>
      <c r="T39" s="80"/>
      <c r="U39" s="60"/>
      <c r="V39" s="7"/>
      <c r="W39" s="7"/>
      <c r="X39" s="7"/>
    </row>
    <row r="40" spans="1:24" ht="15.75" customHeight="1">
      <c r="B40" s="310" t="s">
        <v>191</v>
      </c>
      <c r="C40" s="311"/>
      <c r="D40" s="218">
        <f>SUM(D16:D39)</f>
        <v>38696832.105000004</v>
      </c>
      <c r="E40" s="218">
        <f>SUM(E16:E39)</f>
        <v>4684846.5018159803</v>
      </c>
      <c r="H40" s="40"/>
      <c r="I40" s="40"/>
      <c r="J40" s="40"/>
      <c r="K40" s="40"/>
      <c r="L40" s="40"/>
      <c r="R40" s="84" t="s">
        <v>158</v>
      </c>
      <c r="S40" s="85"/>
      <c r="T40" s="86">
        <v>2355000</v>
      </c>
      <c r="U40" s="60"/>
    </row>
    <row r="41" spans="1:24">
      <c r="B41" s="321" t="s">
        <v>258</v>
      </c>
      <c r="C41" s="322"/>
      <c r="D41" s="322"/>
      <c r="E41" s="323"/>
      <c r="R41" s="32"/>
      <c r="S41" s="73"/>
      <c r="T41" s="40"/>
      <c r="U41" s="60"/>
    </row>
    <row r="42" spans="1:24" s="56" customFormat="1" ht="16" thickBot="1">
      <c r="A42" s="7"/>
      <c r="B42" s="217" t="s">
        <v>259</v>
      </c>
      <c r="C42" s="214" t="s">
        <v>260</v>
      </c>
      <c r="D42" s="215">
        <v>84880.639999999999</v>
      </c>
      <c r="E42" s="215">
        <v>10276.106537530266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1" t="s">
        <v>160</v>
      </c>
      <c r="S42" s="82"/>
      <c r="T42" s="83">
        <f>SUM(T36:T40)</f>
        <v>7049940.9090909101</v>
      </c>
      <c r="U42" s="61"/>
      <c r="V42" s="7"/>
      <c r="W42" s="7"/>
      <c r="X42" s="7"/>
    </row>
    <row r="43" spans="1:24" s="56" customFormat="1" ht="16" thickBot="1">
      <c r="A43" s="7"/>
      <c r="B43" s="217" t="s">
        <v>261</v>
      </c>
      <c r="C43" s="214" t="s">
        <v>260</v>
      </c>
      <c r="D43" s="215">
        <v>83485</v>
      </c>
      <c r="E43" s="215">
        <v>10107.142857142857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40"/>
      <c r="S43" s="40"/>
      <c r="T43" s="7"/>
      <c r="U43" s="7"/>
      <c r="V43" s="7"/>
      <c r="W43" s="7"/>
      <c r="X43" s="7"/>
    </row>
    <row r="44" spans="1:24" s="41" customFormat="1" ht="16" thickBot="1">
      <c r="A44" s="40"/>
      <c r="B44" s="219" t="s">
        <v>78</v>
      </c>
      <c r="C44" s="220"/>
      <c r="D44" s="218">
        <f>SUM(D42:D43)</f>
        <v>168365.64</v>
      </c>
      <c r="E44" s="218">
        <f>SUM(E42:E43)</f>
        <v>20383.249394673123</v>
      </c>
      <c r="F44" s="40"/>
      <c r="G44" s="40"/>
      <c r="H44" s="7"/>
      <c r="I44" s="7"/>
      <c r="J44" s="7"/>
      <c r="K44" s="7"/>
      <c r="L44" s="7"/>
      <c r="M44" s="40"/>
      <c r="N44" s="40"/>
      <c r="O44" s="40"/>
      <c r="P44" s="40"/>
      <c r="Q44" s="7"/>
      <c r="R44" s="285" t="s">
        <v>172</v>
      </c>
      <c r="S44" s="286"/>
      <c r="T44" s="287"/>
      <c r="U44" s="7"/>
      <c r="V44" s="7"/>
      <c r="W44" s="40"/>
    </row>
    <row r="45" spans="1:24" s="41" customFormat="1">
      <c r="A45" s="40"/>
      <c r="B45" s="321" t="s">
        <v>79</v>
      </c>
      <c r="C45" s="322"/>
      <c r="D45" s="322"/>
      <c r="E45" s="323"/>
      <c r="F45" s="40"/>
      <c r="G45" s="40"/>
      <c r="H45" s="7"/>
      <c r="I45" s="7"/>
      <c r="J45" s="7"/>
      <c r="K45" s="7"/>
      <c r="L45" s="7"/>
      <c r="M45" s="40"/>
      <c r="N45" s="40"/>
      <c r="O45" s="40"/>
      <c r="P45" s="40"/>
      <c r="Q45" s="40"/>
      <c r="R45" s="288" t="s">
        <v>70</v>
      </c>
      <c r="S45" s="291" t="s">
        <v>84</v>
      </c>
      <c r="T45" s="291" t="s">
        <v>145</v>
      </c>
      <c r="U45" s="7"/>
      <c r="V45" s="7"/>
      <c r="W45" s="40"/>
    </row>
    <row r="46" spans="1:24" s="41" customFormat="1" ht="16" thickBot="1">
      <c r="A46" s="40"/>
      <c r="B46" s="324" t="s">
        <v>80</v>
      </c>
      <c r="C46" s="325"/>
      <c r="D46" s="325"/>
      <c r="E46" s="326"/>
      <c r="F46" s="40"/>
      <c r="G46" s="40"/>
      <c r="H46" s="7"/>
      <c r="I46" s="7"/>
      <c r="J46" s="7"/>
      <c r="K46" s="7"/>
      <c r="L46" s="7"/>
      <c r="M46" s="40"/>
      <c r="N46" s="40"/>
      <c r="O46" s="40"/>
      <c r="P46" s="40"/>
      <c r="Q46" s="40"/>
      <c r="R46" s="290"/>
      <c r="S46" s="293"/>
      <c r="T46" s="293"/>
      <c r="U46" s="7"/>
      <c r="V46" s="7"/>
      <c r="W46" s="40"/>
    </row>
    <row r="47" spans="1:24" s="41" customFormat="1" ht="16" thickBot="1">
      <c r="A47" s="40"/>
      <c r="B47" s="213" t="s">
        <v>262</v>
      </c>
      <c r="C47" s="214" t="s">
        <v>87</v>
      </c>
      <c r="D47" s="215">
        <v>500036.63</v>
      </c>
      <c r="E47" s="215">
        <v>60537.122276029055</v>
      </c>
      <c r="F47" s="40"/>
      <c r="G47" s="40"/>
      <c r="H47" s="7"/>
      <c r="I47" s="7"/>
      <c r="J47" s="7"/>
      <c r="K47" s="7"/>
      <c r="L47" s="7"/>
      <c r="M47" s="40"/>
      <c r="N47" s="40"/>
      <c r="O47" s="40"/>
      <c r="P47" s="40"/>
      <c r="Q47" s="40"/>
      <c r="R47" s="304" t="s">
        <v>74</v>
      </c>
      <c r="S47" s="305"/>
      <c r="T47" s="306"/>
      <c r="U47" s="7"/>
      <c r="V47" s="40"/>
      <c r="W47" s="40"/>
    </row>
    <row r="48" spans="1:24" s="41" customFormat="1" ht="16" thickBot="1">
      <c r="A48" s="40"/>
      <c r="B48" s="213" t="s">
        <v>263</v>
      </c>
      <c r="C48" s="214" t="s">
        <v>86</v>
      </c>
      <c r="D48" s="215">
        <v>157160</v>
      </c>
      <c r="E48" s="215">
        <v>19026.634382566586</v>
      </c>
      <c r="F48" s="40"/>
      <c r="G48" s="40"/>
      <c r="H48" s="7"/>
      <c r="I48" s="7"/>
      <c r="J48" s="7"/>
      <c r="K48" s="7"/>
      <c r="L48" s="7"/>
      <c r="M48" s="40"/>
      <c r="N48" s="40"/>
      <c r="O48" s="40"/>
      <c r="P48" s="40"/>
      <c r="Q48" s="40"/>
      <c r="R48" s="39" t="s">
        <v>174</v>
      </c>
      <c r="S48" s="68" t="s">
        <v>175</v>
      </c>
      <c r="T48" s="69">
        <v>25000</v>
      </c>
      <c r="U48" s="33">
        <f>+T48</f>
        <v>25000</v>
      </c>
      <c r="V48" s="40"/>
      <c r="W48" s="40"/>
    </row>
    <row r="49" spans="1:24" ht="16" thickBot="1">
      <c r="B49" s="213" t="s">
        <v>264</v>
      </c>
      <c r="C49" s="214" t="s">
        <v>87</v>
      </c>
      <c r="D49" s="215">
        <v>509712.52</v>
      </c>
      <c r="E49" s="215">
        <v>61708.537530266345</v>
      </c>
      <c r="F49" s="40"/>
      <c r="Q49" s="40"/>
      <c r="R49" s="39" t="s">
        <v>133</v>
      </c>
      <c r="S49" s="68" t="s">
        <v>173</v>
      </c>
      <c r="T49" s="69">
        <f>281250*9/(8.4)</f>
        <v>301339.28571428568</v>
      </c>
      <c r="U49" s="33">
        <f t="shared" ref="U49:U63" si="1">+T49</f>
        <v>301339.28571428568</v>
      </c>
      <c r="V49" s="40"/>
      <c r="X49"/>
    </row>
    <row r="50" spans="1:24" ht="16" thickBot="1">
      <c r="B50" s="213" t="s">
        <v>265</v>
      </c>
      <c r="C50" s="214" t="s">
        <v>87</v>
      </c>
      <c r="D50" s="215">
        <v>472951</v>
      </c>
      <c r="E50" s="215">
        <v>57257.990314769981</v>
      </c>
      <c r="F50" s="40"/>
      <c r="R50" s="39" t="s">
        <v>144</v>
      </c>
      <c r="S50" s="68" t="s">
        <v>170</v>
      </c>
      <c r="T50" s="69">
        <f>187500*1</f>
        <v>187500</v>
      </c>
      <c r="U50" s="33">
        <f>+T50/3</f>
        <v>62500</v>
      </c>
      <c r="V50" s="40"/>
      <c r="X50"/>
    </row>
    <row r="51" spans="1:24" ht="16" thickBot="1">
      <c r="B51" s="213" t="s">
        <v>97</v>
      </c>
      <c r="C51" s="214" t="s">
        <v>87</v>
      </c>
      <c r="D51" s="215">
        <v>505501.22</v>
      </c>
      <c r="E51" s="215">
        <v>61198.694915254237</v>
      </c>
      <c r="F51" s="40"/>
      <c r="R51" s="39" t="s">
        <v>130</v>
      </c>
      <c r="S51" s="68" t="s">
        <v>132</v>
      </c>
      <c r="T51" s="69">
        <f>143500*10.4/8.4</f>
        <v>177666.66666666666</v>
      </c>
      <c r="U51" s="33">
        <f t="shared" si="1"/>
        <v>177666.66666666666</v>
      </c>
      <c r="V51" s="40"/>
      <c r="X51"/>
    </row>
    <row r="52" spans="1:24" ht="16" thickBot="1">
      <c r="B52" s="213" t="s">
        <v>266</v>
      </c>
      <c r="C52" s="214" t="s">
        <v>87</v>
      </c>
      <c r="D52" s="215">
        <v>479312</v>
      </c>
      <c r="E52" s="215">
        <v>58028.087167070218</v>
      </c>
      <c r="F52" s="40"/>
      <c r="H52" s="40"/>
      <c r="I52" s="40"/>
      <c r="J52" s="40"/>
      <c r="K52" s="40"/>
      <c r="L52" s="40"/>
      <c r="R52" s="39" t="s">
        <v>131</v>
      </c>
      <c r="S52" s="68" t="s">
        <v>187</v>
      </c>
      <c r="T52" s="69">
        <f>245000*10.4/8.4</f>
        <v>303333.33333333331</v>
      </c>
      <c r="U52" s="33">
        <f>+T52</f>
        <v>303333.33333333331</v>
      </c>
      <c r="X52"/>
    </row>
    <row r="53" spans="1:24" ht="16" thickBot="1">
      <c r="B53" s="213" t="s">
        <v>267</v>
      </c>
      <c r="C53" s="214" t="s">
        <v>86</v>
      </c>
      <c r="D53" s="215">
        <v>171156</v>
      </c>
      <c r="E53" s="215">
        <v>20721.065375302664</v>
      </c>
      <c r="F53" s="40"/>
      <c r="H53" s="40"/>
      <c r="I53" s="40"/>
      <c r="J53" s="40"/>
      <c r="K53" s="40"/>
      <c r="L53" s="40"/>
      <c r="R53" s="39" t="s">
        <v>176</v>
      </c>
      <c r="S53" s="68" t="s">
        <v>163</v>
      </c>
      <c r="T53" s="69">
        <f>48000*10.4/8.4</f>
        <v>59428.571428571428</v>
      </c>
      <c r="U53" s="33">
        <f t="shared" si="1"/>
        <v>59428.571428571428</v>
      </c>
      <c r="X53"/>
    </row>
    <row r="54" spans="1:24" s="56" customFormat="1" ht="16" thickBot="1">
      <c r="A54" s="7"/>
      <c r="B54" s="213" t="s">
        <v>184</v>
      </c>
      <c r="C54" s="214" t="s">
        <v>119</v>
      </c>
      <c r="D54" s="215">
        <v>81340</v>
      </c>
      <c r="E54" s="215">
        <v>9847.4576271186452</v>
      </c>
      <c r="F54" s="40"/>
      <c r="G54" s="7"/>
      <c r="H54" s="40"/>
      <c r="I54" s="40"/>
      <c r="J54" s="40"/>
      <c r="K54" s="40"/>
      <c r="L54" s="40"/>
      <c r="M54" s="7"/>
      <c r="N54" s="7"/>
      <c r="O54" s="7"/>
      <c r="P54" s="7"/>
      <c r="Q54" s="7"/>
      <c r="R54" s="39" t="s">
        <v>177</v>
      </c>
      <c r="S54" s="68" t="s">
        <v>178</v>
      </c>
      <c r="T54" s="69">
        <v>70000</v>
      </c>
      <c r="U54" s="33">
        <f t="shared" si="1"/>
        <v>70000</v>
      </c>
      <c r="V54" s="7"/>
      <c r="W54" s="7"/>
    </row>
    <row r="55" spans="1:24" s="56" customFormat="1" ht="16" thickBot="1">
      <c r="A55" s="7"/>
      <c r="B55" s="213" t="s">
        <v>125</v>
      </c>
      <c r="C55" s="214" t="s">
        <v>87</v>
      </c>
      <c r="D55" s="215">
        <v>499952.64000000001</v>
      </c>
      <c r="E55" s="215">
        <v>60526.95399515739</v>
      </c>
      <c r="F55" s="40"/>
      <c r="G55" s="7"/>
      <c r="H55" s="40"/>
      <c r="I55" s="40"/>
      <c r="J55" s="40"/>
      <c r="K55" s="40"/>
      <c r="L55" s="40"/>
      <c r="M55" s="7"/>
      <c r="N55" s="7"/>
      <c r="O55" s="7"/>
      <c r="P55" s="7"/>
      <c r="Q55" s="7"/>
      <c r="R55" s="39" t="s">
        <v>184</v>
      </c>
      <c r="S55" s="68" t="s">
        <v>185</v>
      </c>
      <c r="T55" s="69">
        <v>10000</v>
      </c>
      <c r="U55" s="33">
        <f t="shared" si="1"/>
        <v>10000</v>
      </c>
      <c r="V55" s="7"/>
      <c r="W55" s="7"/>
    </row>
    <row r="56" spans="1:24" ht="16" thickBot="1">
      <c r="B56" s="213" t="s">
        <v>179</v>
      </c>
      <c r="C56" s="214" t="s">
        <v>87</v>
      </c>
      <c r="D56" s="215">
        <v>482250</v>
      </c>
      <c r="E56" s="215">
        <v>58383.777239709445</v>
      </c>
      <c r="F56" s="40"/>
      <c r="H56" s="40"/>
      <c r="I56" s="40"/>
      <c r="J56" s="40"/>
      <c r="K56" s="40"/>
      <c r="L56" s="40"/>
      <c r="R56" s="39" t="s">
        <v>167</v>
      </c>
      <c r="S56" s="68" t="s">
        <v>168</v>
      </c>
      <c r="T56" s="69">
        <v>40000</v>
      </c>
      <c r="U56" s="33">
        <f t="shared" si="1"/>
        <v>40000</v>
      </c>
      <c r="X56"/>
    </row>
    <row r="57" spans="1:24" ht="16" thickBot="1">
      <c r="B57" s="213" t="s">
        <v>268</v>
      </c>
      <c r="C57" s="214" t="s">
        <v>86</v>
      </c>
      <c r="D57" s="215">
        <v>172750</v>
      </c>
      <c r="E57" s="215">
        <v>20914.043583535109</v>
      </c>
      <c r="F57" s="40"/>
      <c r="H57" s="40"/>
      <c r="I57" s="40"/>
      <c r="J57" s="40"/>
      <c r="K57" s="40"/>
      <c r="L57" s="40"/>
      <c r="R57" s="39" t="s">
        <v>166</v>
      </c>
      <c r="S57" s="68" t="s">
        <v>165</v>
      </c>
      <c r="T57" s="69">
        <v>15000</v>
      </c>
      <c r="U57" s="33">
        <f t="shared" si="1"/>
        <v>15000</v>
      </c>
      <c r="X57"/>
    </row>
    <row r="58" spans="1:24" s="56" customFormat="1" ht="16" thickBot="1">
      <c r="A58" s="7"/>
      <c r="B58" s="213" t="s">
        <v>167</v>
      </c>
      <c r="C58" s="214" t="s">
        <v>88</v>
      </c>
      <c r="D58" s="215">
        <v>338660</v>
      </c>
      <c r="E58" s="215">
        <v>41000</v>
      </c>
      <c r="F58" s="40"/>
      <c r="G58" s="7"/>
      <c r="H58" s="40"/>
      <c r="I58" s="40"/>
      <c r="J58" s="40"/>
      <c r="K58" s="40"/>
      <c r="L58" s="40"/>
      <c r="M58" s="7"/>
      <c r="N58" s="7"/>
      <c r="O58" s="7"/>
      <c r="P58" s="7"/>
      <c r="Q58" s="7"/>
      <c r="R58" s="39" t="s">
        <v>181</v>
      </c>
      <c r="S58" s="68" t="s">
        <v>180</v>
      </c>
      <c r="T58" s="69">
        <v>60000</v>
      </c>
      <c r="U58" s="33">
        <f t="shared" si="1"/>
        <v>60000</v>
      </c>
      <c r="V58" s="7"/>
      <c r="W58" s="7"/>
    </row>
    <row r="59" spans="1:24" ht="16" thickBot="1">
      <c r="B59" s="213" t="s">
        <v>269</v>
      </c>
      <c r="C59" s="214" t="s">
        <v>88</v>
      </c>
      <c r="D59" s="215">
        <v>313838</v>
      </c>
      <c r="E59" s="215">
        <v>37994.91525423729</v>
      </c>
      <c r="F59" s="40"/>
      <c r="H59" s="40"/>
      <c r="I59" s="40"/>
      <c r="J59" s="40"/>
      <c r="K59" s="40"/>
      <c r="L59" s="40"/>
      <c r="R59" s="39" t="s">
        <v>106</v>
      </c>
      <c r="S59" s="68" t="s">
        <v>165</v>
      </c>
      <c r="T59" s="69">
        <v>15000</v>
      </c>
      <c r="U59" s="33">
        <f t="shared" si="1"/>
        <v>15000</v>
      </c>
      <c r="X59"/>
    </row>
    <row r="60" spans="1:24" s="56" customFormat="1" ht="16" thickBot="1">
      <c r="A60" s="231" t="s">
        <v>2</v>
      </c>
      <c r="B60" s="213" t="s">
        <v>21</v>
      </c>
      <c r="C60" s="214" t="s">
        <v>88</v>
      </c>
      <c r="D60" s="215">
        <v>335184</v>
      </c>
      <c r="E60" s="215">
        <v>40579.176755447945</v>
      </c>
      <c r="F60" s="40"/>
      <c r="G60" s="7"/>
      <c r="H60" s="40"/>
      <c r="I60" s="40"/>
      <c r="J60" s="40"/>
      <c r="K60" s="40"/>
      <c r="L60" s="40"/>
      <c r="M60" s="7"/>
      <c r="N60" s="7"/>
      <c r="O60" s="7"/>
      <c r="P60" s="7"/>
      <c r="Q60" s="7"/>
      <c r="R60" s="39" t="s">
        <v>169</v>
      </c>
      <c r="S60" s="68" t="s">
        <v>165</v>
      </c>
      <c r="T60" s="69">
        <v>15000</v>
      </c>
      <c r="U60" s="33">
        <f t="shared" si="1"/>
        <v>15000</v>
      </c>
      <c r="V60" s="7"/>
      <c r="W60" s="7"/>
    </row>
    <row r="61" spans="1:24" ht="16" thickBot="1">
      <c r="B61" s="213" t="s">
        <v>114</v>
      </c>
      <c r="C61" s="214" t="s">
        <v>87</v>
      </c>
      <c r="D61" s="215">
        <v>493162</v>
      </c>
      <c r="E61" s="215">
        <v>59704.842615012109</v>
      </c>
      <c r="F61" s="40"/>
      <c r="H61" s="40"/>
      <c r="I61" s="40"/>
      <c r="J61" s="40"/>
      <c r="K61" s="40"/>
      <c r="L61" s="40"/>
      <c r="R61" s="39" t="s">
        <v>189</v>
      </c>
      <c r="S61" s="68" t="s">
        <v>165</v>
      </c>
      <c r="T61" s="69">
        <v>15000</v>
      </c>
      <c r="U61" s="33"/>
      <c r="X61"/>
    </row>
    <row r="62" spans="1:24" ht="16" thickBot="1">
      <c r="B62" s="213" t="s">
        <v>22</v>
      </c>
      <c r="C62" s="214" t="s">
        <v>87</v>
      </c>
      <c r="D62" s="215">
        <v>473692</v>
      </c>
      <c r="E62" s="215">
        <v>57347.699757869254</v>
      </c>
      <c r="F62" s="40"/>
      <c r="R62" s="39" t="s">
        <v>98</v>
      </c>
      <c r="S62" s="68" t="s">
        <v>165</v>
      </c>
      <c r="T62" s="69">
        <v>15000</v>
      </c>
      <c r="U62" s="33">
        <f t="shared" si="1"/>
        <v>15000</v>
      </c>
      <c r="X62"/>
    </row>
    <row r="63" spans="1:24" s="56" customFormat="1" ht="16" thickBot="1">
      <c r="A63" s="7"/>
      <c r="B63" s="213" t="s">
        <v>120</v>
      </c>
      <c r="C63" s="214" t="s">
        <v>86</v>
      </c>
      <c r="D63" s="215">
        <v>155066</v>
      </c>
      <c r="E63" s="215">
        <v>18773.123486682809</v>
      </c>
      <c r="F63" s="4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9" t="s">
        <v>164</v>
      </c>
      <c r="S63" s="68" t="s">
        <v>165</v>
      </c>
      <c r="T63" s="69">
        <v>15000</v>
      </c>
      <c r="U63" s="33">
        <f t="shared" si="1"/>
        <v>15000</v>
      </c>
      <c r="V63" s="7"/>
      <c r="W63" s="7"/>
    </row>
    <row r="64" spans="1:24">
      <c r="B64" s="213" t="s">
        <v>270</v>
      </c>
      <c r="C64" s="214" t="s">
        <v>87</v>
      </c>
      <c r="D64" s="215">
        <v>510410</v>
      </c>
      <c r="E64" s="215">
        <v>61792.978208232445</v>
      </c>
      <c r="F64" s="40"/>
      <c r="R64" s="32"/>
      <c r="S64" s="73"/>
      <c r="T64" s="59"/>
    </row>
    <row r="65" spans="1:24" s="56" customFormat="1" ht="16" thickBot="1">
      <c r="A65" s="7"/>
      <c r="B65" s="213" t="s">
        <v>271</v>
      </c>
      <c r="C65" s="214" t="s">
        <v>105</v>
      </c>
      <c r="D65" s="215">
        <v>206912.5</v>
      </c>
      <c r="E65" s="215">
        <v>25049.93946731235</v>
      </c>
      <c r="F65" s="4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81" t="s">
        <v>171</v>
      </c>
      <c r="S65" s="82"/>
      <c r="T65" s="87">
        <f>SUM(T48:T63)</f>
        <v>1324267.857142857</v>
      </c>
      <c r="U65" s="87">
        <f>SUM(U48:U63)</f>
        <v>1184267.8571428573</v>
      </c>
      <c r="V65" s="7"/>
      <c r="W65" s="7"/>
      <c r="X65" s="7"/>
    </row>
    <row r="66" spans="1:24">
      <c r="B66" s="213" t="s">
        <v>272</v>
      </c>
      <c r="C66" s="214" t="s">
        <v>87</v>
      </c>
      <c r="D66" s="215">
        <v>515396</v>
      </c>
      <c r="E66" s="215">
        <v>62396.610169491527</v>
      </c>
      <c r="F66" s="40"/>
      <c r="R66" s="56"/>
      <c r="S66" s="56"/>
      <c r="T66" s="56"/>
    </row>
    <row r="67" spans="1:24">
      <c r="B67" s="213" t="s">
        <v>126</v>
      </c>
      <c r="C67" s="214" t="s">
        <v>86</v>
      </c>
      <c r="D67" s="215">
        <v>158161</v>
      </c>
      <c r="E67" s="215">
        <v>19147.820823244554</v>
      </c>
      <c r="F67" s="40"/>
    </row>
    <row r="68" spans="1:24" s="56" customFormat="1">
      <c r="A68" s="7"/>
      <c r="B68" s="213" t="s">
        <v>1</v>
      </c>
      <c r="C68" s="214" t="s">
        <v>87</v>
      </c>
      <c r="D68" s="215">
        <v>509276</v>
      </c>
      <c r="E68" s="215">
        <v>61655.690072639227</v>
      </c>
      <c r="F68" s="4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56" customFormat="1">
      <c r="A69" s="7"/>
      <c r="B69" s="213" t="s">
        <v>181</v>
      </c>
      <c r="C69" s="214" t="s">
        <v>87</v>
      </c>
      <c r="D69" s="215">
        <v>501120</v>
      </c>
      <c r="E69" s="215">
        <v>60668.2808716707</v>
      </c>
      <c r="F69" s="4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56" customFormat="1">
      <c r="A70" s="7"/>
      <c r="B70" s="213" t="s">
        <v>273</v>
      </c>
      <c r="C70" s="214" t="s">
        <v>86</v>
      </c>
      <c r="D70" s="215">
        <v>168772</v>
      </c>
      <c r="E70" s="215">
        <v>20432.445520581114</v>
      </c>
      <c r="F70" s="4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>
      <c r="B71" s="213" t="s">
        <v>99</v>
      </c>
      <c r="C71" s="214" t="s">
        <v>87</v>
      </c>
      <c r="D71" s="215">
        <v>497876</v>
      </c>
      <c r="E71" s="215">
        <v>60275.544794188863</v>
      </c>
      <c r="F71" s="40"/>
    </row>
    <row r="72" spans="1:24" s="41" customFormat="1">
      <c r="A72" s="40"/>
      <c r="B72" s="327" t="s">
        <v>192</v>
      </c>
      <c r="C72" s="328"/>
      <c r="D72" s="221">
        <f>SUM(D47:D71)</f>
        <v>9209647.5099999998</v>
      </c>
      <c r="E72" s="221">
        <f>SUM(E47:E71)</f>
        <v>1114969.4322033897</v>
      </c>
      <c r="F72" s="40"/>
      <c r="G72" s="40"/>
      <c r="H72" s="7"/>
      <c r="I72" s="7"/>
      <c r="J72" s="7"/>
      <c r="K72" s="7"/>
      <c r="L72" s="7"/>
      <c r="M72" s="7"/>
      <c r="N72" s="40"/>
      <c r="O72" s="40"/>
      <c r="P72" s="40"/>
      <c r="Q72" s="40"/>
      <c r="R72" s="40"/>
      <c r="S72" s="7"/>
      <c r="T72" s="7"/>
      <c r="U72" s="7"/>
      <c r="V72" s="7"/>
      <c r="W72" s="40"/>
      <c r="X72" s="40"/>
    </row>
    <row r="73" spans="1:24">
      <c r="B73" s="312" t="s">
        <v>81</v>
      </c>
      <c r="C73" s="313"/>
      <c r="D73" s="313"/>
      <c r="E73" s="314"/>
      <c r="Q73" s="40"/>
      <c r="W73" s="40"/>
    </row>
    <row r="74" spans="1:24" s="56" customFormat="1">
      <c r="A74" s="7"/>
      <c r="B74" s="213" t="s">
        <v>109</v>
      </c>
      <c r="C74" s="214" t="s">
        <v>108</v>
      </c>
      <c r="D74" s="215">
        <v>124957.5</v>
      </c>
      <c r="E74" s="215">
        <v>15128.026634382568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56" customFormat="1">
      <c r="A75" s="7"/>
      <c r="B75" s="213" t="s">
        <v>106</v>
      </c>
      <c r="C75" s="214" t="s">
        <v>108</v>
      </c>
      <c r="D75" s="215">
        <v>124020.5</v>
      </c>
      <c r="E75" s="215">
        <v>15014.588377723971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>
      <c r="B76" s="213" t="s">
        <v>85</v>
      </c>
      <c r="C76" s="214" t="s">
        <v>108</v>
      </c>
      <c r="D76" s="215">
        <v>126840</v>
      </c>
      <c r="E76" s="215">
        <v>15355.932203389832</v>
      </c>
      <c r="T76" s="40"/>
      <c r="U76" s="40"/>
      <c r="V76" s="40"/>
    </row>
    <row r="77" spans="1:24">
      <c r="B77" s="213" t="s">
        <v>17</v>
      </c>
      <c r="C77" s="214" t="s">
        <v>108</v>
      </c>
      <c r="D77" s="215">
        <v>122705</v>
      </c>
      <c r="E77" s="215">
        <v>14855.326876513318</v>
      </c>
      <c r="M77" s="40"/>
      <c r="S77" s="40"/>
      <c r="T77" s="40"/>
      <c r="U77" s="40"/>
      <c r="V77" s="40"/>
    </row>
    <row r="78" spans="1:24">
      <c r="B78" s="213" t="s">
        <v>98</v>
      </c>
      <c r="C78" s="214" t="s">
        <v>108</v>
      </c>
      <c r="D78" s="215">
        <v>126012</v>
      </c>
      <c r="E78" s="215">
        <v>15255.690072639225</v>
      </c>
      <c r="H78" s="40"/>
      <c r="I78" s="40"/>
      <c r="J78" s="40"/>
      <c r="K78" s="40"/>
      <c r="L78" s="40"/>
      <c r="T78" s="40"/>
      <c r="U78" s="40"/>
      <c r="V78" s="40"/>
    </row>
    <row r="79" spans="1:24" s="41" customFormat="1">
      <c r="A79" s="40"/>
      <c r="B79" s="213" t="s">
        <v>18</v>
      </c>
      <c r="C79" s="214" t="s">
        <v>108</v>
      </c>
      <c r="D79" s="215">
        <v>127198.51</v>
      </c>
      <c r="E79" s="215">
        <v>15399.335351089589</v>
      </c>
      <c r="F79" s="40"/>
      <c r="G79" s="42"/>
      <c r="H79" s="7"/>
      <c r="I79" s="7"/>
      <c r="J79" s="7"/>
      <c r="K79" s="7"/>
      <c r="L79" s="7"/>
      <c r="M79" s="40"/>
      <c r="N79" s="40"/>
      <c r="O79" s="40"/>
      <c r="P79" s="40"/>
      <c r="Q79" s="7"/>
      <c r="R79" s="40"/>
      <c r="S79" s="40"/>
      <c r="T79" s="40"/>
      <c r="U79" s="40"/>
      <c r="V79" s="40"/>
      <c r="W79" s="7"/>
      <c r="X79" s="40"/>
    </row>
    <row r="80" spans="1:24" s="56" customFormat="1">
      <c r="A80" s="7"/>
      <c r="B80" s="213" t="s">
        <v>274</v>
      </c>
      <c r="C80" s="214" t="s">
        <v>104</v>
      </c>
      <c r="D80" s="215">
        <v>384198</v>
      </c>
      <c r="E80" s="215">
        <v>46513.07506053269</v>
      </c>
      <c r="F80" s="7"/>
      <c r="G80" s="7"/>
      <c r="H80" s="40"/>
      <c r="I80" s="40"/>
      <c r="J80" s="40"/>
      <c r="K80" s="40"/>
      <c r="L80" s="40"/>
      <c r="M80" s="7"/>
      <c r="N80" s="7"/>
      <c r="O80" s="7"/>
      <c r="P80" s="7"/>
      <c r="Q80" s="40"/>
      <c r="R80" s="7"/>
      <c r="S80" s="40"/>
      <c r="T80" s="7"/>
      <c r="U80" s="7"/>
      <c r="V80" s="7"/>
      <c r="W80" s="40"/>
      <c r="X80" s="7"/>
    </row>
    <row r="81" spans="1:24" s="41" customFormat="1">
      <c r="A81" s="40"/>
      <c r="B81" s="213" t="s">
        <v>19</v>
      </c>
      <c r="C81" s="214" t="s">
        <v>108</v>
      </c>
      <c r="D81" s="215">
        <v>122610</v>
      </c>
      <c r="E81" s="215">
        <v>14843.825665859564</v>
      </c>
      <c r="F81" s="40"/>
      <c r="G81" s="40"/>
      <c r="H81" s="7"/>
      <c r="I81" s="7"/>
      <c r="J81" s="7"/>
      <c r="K81" s="7"/>
      <c r="L81" s="7"/>
      <c r="M81" s="40"/>
      <c r="N81" s="40"/>
      <c r="O81" s="40"/>
      <c r="P81" s="40"/>
      <c r="Q81" s="7"/>
      <c r="R81" s="40"/>
      <c r="S81" s="40"/>
      <c r="T81" s="7"/>
      <c r="U81" s="7"/>
      <c r="V81" s="7"/>
      <c r="W81" s="7"/>
      <c r="X81" s="40"/>
    </row>
    <row r="82" spans="1:24" s="41" customFormat="1">
      <c r="A82" s="40"/>
      <c r="B82" s="213" t="s">
        <v>20</v>
      </c>
      <c r="C82" s="214" t="s">
        <v>115</v>
      </c>
      <c r="D82" s="215">
        <v>3577835</v>
      </c>
      <c r="E82" s="215">
        <v>433151.93704600487</v>
      </c>
      <c r="F82" s="40"/>
      <c r="G82" s="40"/>
      <c r="H82" s="7"/>
      <c r="I82" s="7"/>
      <c r="J82" s="7"/>
      <c r="K82" s="7"/>
      <c r="L82" s="7"/>
      <c r="M82" s="40"/>
      <c r="N82" s="40"/>
      <c r="O82" s="40"/>
      <c r="P82" s="40"/>
      <c r="Q82" s="40"/>
      <c r="R82" s="40"/>
      <c r="S82" s="40"/>
      <c r="T82" s="7"/>
      <c r="U82" s="7"/>
      <c r="V82" s="7"/>
      <c r="W82" s="40"/>
      <c r="X82" s="40"/>
    </row>
    <row r="83" spans="1:24" s="41" customFormat="1">
      <c r="A83" s="40"/>
      <c r="B83" s="213" t="s">
        <v>107</v>
      </c>
      <c r="C83" s="214" t="s">
        <v>108</v>
      </c>
      <c r="D83" s="215">
        <v>117961</v>
      </c>
      <c r="E83" s="215">
        <v>14280.992736077482</v>
      </c>
      <c r="F83" s="40"/>
      <c r="G83" s="40"/>
      <c r="H83" s="7"/>
      <c r="I83" s="7"/>
      <c r="J83" s="7"/>
      <c r="K83" s="7"/>
      <c r="L83" s="7"/>
      <c r="M83" s="40"/>
      <c r="N83" s="40"/>
      <c r="O83" s="40"/>
      <c r="P83" s="40"/>
      <c r="Q83" s="40"/>
      <c r="R83" s="40"/>
      <c r="S83" s="40"/>
      <c r="T83" s="7"/>
      <c r="U83" s="7"/>
      <c r="V83" s="7"/>
      <c r="W83" s="40"/>
      <c r="X83" s="40"/>
    </row>
    <row r="84" spans="1:24" s="41" customFormat="1">
      <c r="A84" s="40"/>
      <c r="B84" s="213" t="s">
        <v>118</v>
      </c>
      <c r="C84" s="214" t="s">
        <v>88</v>
      </c>
      <c r="D84" s="215">
        <v>340175</v>
      </c>
      <c r="E84" s="215">
        <v>41183.414043583536</v>
      </c>
      <c r="F84" s="40"/>
      <c r="G84" s="40"/>
      <c r="H84" s="7"/>
      <c r="I84" s="7"/>
      <c r="J84" s="7"/>
      <c r="K84" s="7"/>
      <c r="L84" s="7"/>
      <c r="M84" s="40"/>
      <c r="N84" s="40"/>
      <c r="O84" s="40"/>
      <c r="P84" s="40"/>
      <c r="Q84" s="40"/>
      <c r="R84" s="40"/>
      <c r="S84" s="40"/>
      <c r="T84" s="7"/>
      <c r="U84" s="7"/>
      <c r="V84" s="7"/>
      <c r="W84" s="40"/>
      <c r="X84" s="40"/>
    </row>
    <row r="85" spans="1:24" s="41" customFormat="1">
      <c r="A85" s="40"/>
      <c r="B85" s="213" t="s">
        <v>216</v>
      </c>
      <c r="C85" s="214" t="s">
        <v>108</v>
      </c>
      <c r="D85" s="215">
        <v>128281</v>
      </c>
      <c r="E85" s="215">
        <v>15530.387409200968</v>
      </c>
      <c r="F85" s="40"/>
      <c r="G85" s="40"/>
      <c r="H85" s="7"/>
      <c r="I85" s="7"/>
      <c r="J85" s="7"/>
      <c r="K85" s="7"/>
      <c r="L85" s="7"/>
      <c r="M85" s="40"/>
      <c r="N85" s="40"/>
      <c r="O85" s="40"/>
      <c r="P85" s="40"/>
      <c r="Q85" s="40"/>
      <c r="R85" s="40"/>
      <c r="S85" s="40"/>
      <c r="T85" s="7"/>
      <c r="U85" s="7"/>
      <c r="V85" s="7"/>
      <c r="W85" s="40"/>
      <c r="X85" s="40"/>
    </row>
    <row r="86" spans="1:24" s="41" customFormat="1">
      <c r="A86" s="40"/>
      <c r="B86" s="213" t="s">
        <v>275</v>
      </c>
      <c r="C86" s="214" t="s">
        <v>108</v>
      </c>
      <c r="D86" s="215">
        <v>124323.85</v>
      </c>
      <c r="E86" s="215">
        <v>15051.313559322036</v>
      </c>
      <c r="F86" s="40"/>
      <c r="G86" s="40"/>
      <c r="H86" s="7"/>
      <c r="I86" s="7"/>
      <c r="J86" s="7"/>
      <c r="K86" s="7"/>
      <c r="L86" s="7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s="41" customFormat="1">
      <c r="A87" s="40"/>
      <c r="B87" s="213" t="s">
        <v>276</v>
      </c>
      <c r="C87" s="214" t="s">
        <v>87</v>
      </c>
      <c r="D87" s="215">
        <v>497859</v>
      </c>
      <c r="E87" s="215">
        <v>60273.486682808718</v>
      </c>
      <c r="F87" s="40"/>
      <c r="G87" s="40"/>
      <c r="H87" s="7"/>
      <c r="I87" s="7"/>
      <c r="J87" s="7"/>
      <c r="K87" s="7"/>
      <c r="L87" s="7"/>
      <c r="M87" s="40"/>
      <c r="N87" s="40"/>
      <c r="O87" s="40"/>
      <c r="P87" s="40"/>
      <c r="Q87" s="40"/>
      <c r="R87" s="40"/>
      <c r="S87" s="40"/>
      <c r="T87" s="7"/>
      <c r="U87" s="7"/>
      <c r="V87" s="7"/>
      <c r="W87" s="40"/>
      <c r="X87" s="40"/>
    </row>
    <row r="88" spans="1:24" s="41" customFormat="1">
      <c r="A88" s="40"/>
      <c r="B88" s="294" t="s">
        <v>193</v>
      </c>
      <c r="C88" s="295"/>
      <c r="D88" s="218">
        <f>SUM(D74:D87)</f>
        <v>6044976.3599999994</v>
      </c>
      <c r="E88" s="218">
        <f>SUM(E74:E87)</f>
        <v>731837.33171912841</v>
      </c>
      <c r="F88" s="40"/>
      <c r="G88" s="40"/>
      <c r="H88" s="7"/>
      <c r="I88" s="7"/>
      <c r="J88" s="7"/>
      <c r="K88" s="7"/>
      <c r="L88" s="7"/>
      <c r="M88" s="40"/>
      <c r="N88" s="40"/>
      <c r="O88" s="40"/>
      <c r="P88" s="40"/>
      <c r="Q88" s="40"/>
      <c r="R88" s="40"/>
      <c r="S88" s="7"/>
      <c r="T88" s="40"/>
      <c r="U88" s="40"/>
      <c r="V88" s="40"/>
      <c r="W88" s="40"/>
      <c r="X88" s="40"/>
    </row>
    <row r="89" spans="1:24" s="41" customFormat="1">
      <c r="A89" s="40"/>
      <c r="B89" s="296" t="s">
        <v>82</v>
      </c>
      <c r="C89" s="297"/>
      <c r="D89" s="297"/>
      <c r="E89" s="298"/>
      <c r="F89" s="40"/>
      <c r="G89" s="40"/>
      <c r="H89" s="7"/>
      <c r="I89" s="7"/>
      <c r="J89" s="7"/>
      <c r="K89" s="7"/>
      <c r="L89" s="7"/>
      <c r="M89" s="7"/>
      <c r="N89" s="40"/>
      <c r="O89" s="40"/>
      <c r="P89" s="40"/>
      <c r="Q89" s="40"/>
      <c r="R89" s="40"/>
      <c r="S89" s="7"/>
      <c r="T89" s="40"/>
      <c r="U89" s="40"/>
      <c r="V89" s="40"/>
      <c r="W89" s="40"/>
      <c r="X89" s="40"/>
    </row>
    <row r="90" spans="1:24">
      <c r="B90" s="213" t="s">
        <v>277</v>
      </c>
      <c r="C90" s="214" t="s">
        <v>108</v>
      </c>
      <c r="D90" s="215">
        <v>126676.62</v>
      </c>
      <c r="E90" s="215">
        <v>15336.152542372882</v>
      </c>
      <c r="F90" s="58"/>
      <c r="Q90" s="40"/>
      <c r="T90" s="40"/>
      <c r="U90" s="40"/>
      <c r="V90" s="40"/>
      <c r="W90" s="40"/>
    </row>
    <row r="91" spans="1:24">
      <c r="B91" s="213" t="s">
        <v>278</v>
      </c>
      <c r="C91" s="214" t="s">
        <v>87</v>
      </c>
      <c r="D91" s="215">
        <v>482678</v>
      </c>
      <c r="E91" s="215">
        <v>58435.593220338982</v>
      </c>
      <c r="T91" s="40"/>
      <c r="U91" s="40"/>
      <c r="V91" s="40"/>
    </row>
    <row r="92" spans="1:24">
      <c r="B92" s="299" t="s">
        <v>82</v>
      </c>
      <c r="C92" s="300"/>
      <c r="D92" s="216">
        <f>SUM(D90:D91)</f>
        <v>609354.62</v>
      </c>
      <c r="E92" s="216">
        <f>SUM(E90:E91)</f>
        <v>73771.745762711857</v>
      </c>
      <c r="M92" s="7" t="s">
        <v>2</v>
      </c>
      <c r="T92" s="40"/>
      <c r="U92" s="40"/>
      <c r="V92" s="40"/>
    </row>
    <row r="93" spans="1:24" ht="16" thickBot="1">
      <c r="B93" s="222" t="s">
        <v>214</v>
      </c>
      <c r="C93" s="223"/>
      <c r="D93" s="224">
        <f>+D40+D44+D72+D88+D92+2+D14</f>
        <v>55599937.805</v>
      </c>
      <c r="E93" s="225">
        <f>+E40+E44+E72+E88+E92+E14</f>
        <v>6731227.0950363195</v>
      </c>
      <c r="T93" s="40"/>
      <c r="U93" s="40"/>
      <c r="V93" s="40"/>
    </row>
    <row r="94" spans="1:24">
      <c r="B94" s="7"/>
      <c r="C94" s="7"/>
      <c r="D94" s="7" t="s">
        <v>2</v>
      </c>
      <c r="E94" s="7"/>
      <c r="T94" s="40"/>
      <c r="U94" s="40"/>
      <c r="V94" s="40"/>
    </row>
    <row r="95" spans="1:24" ht="16" thickBot="1">
      <c r="B95" s="40"/>
      <c r="C95" s="40"/>
      <c r="D95" s="40"/>
      <c r="E95" s="40"/>
    </row>
    <row r="96" spans="1:24" ht="16" thickBot="1">
      <c r="B96" s="301" t="s">
        <v>279</v>
      </c>
      <c r="C96" s="302"/>
      <c r="D96" s="302"/>
      <c r="E96" s="303"/>
    </row>
    <row r="97" spans="1:24">
      <c r="B97" s="329" t="s">
        <v>70</v>
      </c>
      <c r="C97" s="331" t="s">
        <v>71</v>
      </c>
      <c r="D97" s="333" t="s">
        <v>72</v>
      </c>
      <c r="E97" s="333" t="s">
        <v>73</v>
      </c>
    </row>
    <row r="98" spans="1:24">
      <c r="B98" s="330"/>
      <c r="C98" s="332"/>
      <c r="D98" s="334"/>
      <c r="E98" s="334"/>
    </row>
    <row r="99" spans="1:24">
      <c r="B99" s="226" t="s">
        <v>232</v>
      </c>
      <c r="C99" s="227" t="s">
        <v>233</v>
      </c>
      <c r="D99" s="215">
        <v>-794066</v>
      </c>
      <c r="E99" s="228">
        <v>-96133.898305084746</v>
      </c>
    </row>
    <row r="100" spans="1:24" ht="15.75" customHeight="1">
      <c r="B100" s="226" t="s">
        <v>236</v>
      </c>
      <c r="C100" s="227" t="s">
        <v>237</v>
      </c>
      <c r="D100" s="229">
        <v>1240999.6666666667</v>
      </c>
      <c r="E100" s="228">
        <v>150242.09039548025</v>
      </c>
    </row>
    <row r="101" spans="1:24" ht="15.75" customHeight="1">
      <c r="B101" s="226" t="s">
        <v>247</v>
      </c>
      <c r="C101" s="227" t="s">
        <v>170</v>
      </c>
      <c r="D101" s="215">
        <v>1561968.75</v>
      </c>
      <c r="E101" s="228">
        <v>189100.33292978207</v>
      </c>
    </row>
    <row r="102" spans="1:24">
      <c r="B102" s="226" t="s">
        <v>131</v>
      </c>
      <c r="C102" s="227" t="s">
        <v>187</v>
      </c>
      <c r="D102" s="215">
        <v>2578576</v>
      </c>
      <c r="E102" s="228">
        <v>312176.27118644066</v>
      </c>
    </row>
    <row r="103" spans="1:24">
      <c r="B103" s="226" t="s">
        <v>280</v>
      </c>
      <c r="C103" s="227" t="s">
        <v>252</v>
      </c>
      <c r="D103" s="215">
        <v>1558730</v>
      </c>
      <c r="E103" s="228">
        <v>188708.23244552058</v>
      </c>
    </row>
    <row r="104" spans="1:24" s="56" customFormat="1">
      <c r="A104" s="7"/>
      <c r="B104" s="226" t="s">
        <v>176</v>
      </c>
      <c r="C104" s="227" t="s">
        <v>163</v>
      </c>
      <c r="D104" s="215">
        <v>488890</v>
      </c>
      <c r="E104" s="228">
        <v>59187.651331719127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>
      <c r="B105" s="226" t="s">
        <v>281</v>
      </c>
      <c r="C105" s="227" t="s">
        <v>104</v>
      </c>
      <c r="D105" s="215">
        <v>384198</v>
      </c>
      <c r="E105" s="228">
        <v>46513.07506053269</v>
      </c>
    </row>
    <row r="106" spans="1:24" s="56" customFormat="1">
      <c r="A106" s="7"/>
      <c r="B106" s="226" t="s">
        <v>282</v>
      </c>
      <c r="C106" s="227" t="s">
        <v>105</v>
      </c>
      <c r="D106" s="215">
        <v>206912.5</v>
      </c>
      <c r="E106" s="228">
        <v>25049.93946731235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s="56" customFormat="1">
      <c r="A107" s="7"/>
      <c r="B107" s="226" t="s">
        <v>253</v>
      </c>
      <c r="C107" s="227" t="s">
        <v>128</v>
      </c>
      <c r="D107" s="215">
        <v>976225</v>
      </c>
      <c r="E107" s="228">
        <v>118187.04600484262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s="56" customFormat="1">
      <c r="A108" s="7"/>
      <c r="B108" s="226" t="s">
        <v>254</v>
      </c>
      <c r="C108" s="227" t="s">
        <v>255</v>
      </c>
      <c r="D108" s="215">
        <v>2849565</v>
      </c>
      <c r="E108" s="228">
        <v>344983.65617433417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>
      <c r="B109" s="226" t="s">
        <v>89</v>
      </c>
      <c r="C109" s="227" t="s">
        <v>283</v>
      </c>
      <c r="D109" s="215">
        <v>1516530</v>
      </c>
      <c r="E109" s="228">
        <v>183599.27360774818</v>
      </c>
    </row>
    <row r="110" spans="1:24" ht="16" thickBot="1">
      <c r="B110" s="335" t="s">
        <v>83</v>
      </c>
      <c r="C110" s="336"/>
      <c r="D110" s="230">
        <f>SUM(D99:D109)</f>
        <v>12568528.916666668</v>
      </c>
      <c r="E110" s="230">
        <f>SUM(E99:E109)</f>
        <v>1521613.6702986278</v>
      </c>
    </row>
    <row r="111" spans="1:24">
      <c r="B111" s="7"/>
      <c r="C111" s="7"/>
      <c r="D111" s="7"/>
      <c r="E111" s="7"/>
    </row>
    <row r="112" spans="1:24">
      <c r="B112" s="7"/>
      <c r="C112" s="7"/>
      <c r="D112" s="7"/>
      <c r="E112" s="7"/>
    </row>
    <row r="113" spans="2:5">
      <c r="B113" s="7"/>
      <c r="C113" s="7"/>
      <c r="D113" s="7"/>
      <c r="E113" s="7"/>
    </row>
    <row r="114" spans="2:5">
      <c r="B114" s="7"/>
      <c r="C114" s="7"/>
      <c r="D114" s="7"/>
      <c r="E114" s="7"/>
    </row>
    <row r="115" spans="2:5">
      <c r="B115" s="7"/>
      <c r="C115" s="7"/>
      <c r="D115" s="7"/>
      <c r="E115" s="7"/>
    </row>
    <row r="116" spans="2:5">
      <c r="B116" s="7"/>
      <c r="C116" s="7"/>
      <c r="D116" s="7"/>
      <c r="E116" s="7"/>
    </row>
    <row r="117" spans="2:5">
      <c r="B117" s="7"/>
      <c r="C117" s="7"/>
      <c r="D117" s="7"/>
      <c r="E117" s="7"/>
    </row>
    <row r="118" spans="2:5">
      <c r="B118" s="7"/>
      <c r="C118" s="7"/>
      <c r="D118" s="7"/>
      <c r="E118" s="7"/>
    </row>
    <row r="119" spans="2:5">
      <c r="B119" s="7"/>
      <c r="C119" s="7"/>
      <c r="D119" s="7"/>
      <c r="E119" s="7"/>
    </row>
    <row r="120" spans="2:5">
      <c r="B120" s="7"/>
      <c r="C120" s="7"/>
      <c r="D120" s="7"/>
      <c r="E120" s="7"/>
    </row>
    <row r="121" spans="2:5">
      <c r="B121" s="7"/>
      <c r="C121" s="7"/>
      <c r="D121" s="7"/>
      <c r="E121" s="7"/>
    </row>
    <row r="122" spans="2:5">
      <c r="B122" s="7"/>
      <c r="C122" s="7"/>
      <c r="D122" s="7"/>
      <c r="E122" s="7"/>
    </row>
    <row r="123" spans="2:5">
      <c r="B123" s="7"/>
      <c r="C123" s="7"/>
      <c r="D123" s="7"/>
      <c r="E123" s="7"/>
    </row>
    <row r="124" spans="2:5">
      <c r="B124" s="7"/>
      <c r="C124" s="7"/>
      <c r="D124" s="7"/>
      <c r="E124" s="7"/>
    </row>
  </sheetData>
  <sortState ref="I20:K43">
    <sortCondition descending="1" ref="I20"/>
  </sortState>
  <mergeCells count="32">
    <mergeCell ref="B110:C110"/>
    <mergeCell ref="B41:E41"/>
    <mergeCell ref="B45:E45"/>
    <mergeCell ref="B46:E46"/>
    <mergeCell ref="B72:C72"/>
    <mergeCell ref="B97:B98"/>
    <mergeCell ref="C97:C98"/>
    <mergeCell ref="D97:D98"/>
    <mergeCell ref="E97:E98"/>
    <mergeCell ref="B88:C88"/>
    <mergeCell ref="B89:E89"/>
    <mergeCell ref="B92:C92"/>
    <mergeCell ref="B96:E96"/>
    <mergeCell ref="T3:T15"/>
    <mergeCell ref="R16:T16"/>
    <mergeCell ref="R47:T47"/>
    <mergeCell ref="B4:E4"/>
    <mergeCell ref="B14:C14"/>
    <mergeCell ref="B73:E73"/>
    <mergeCell ref="B2:B3"/>
    <mergeCell ref="C2:C3"/>
    <mergeCell ref="D2:D3"/>
    <mergeCell ref="E2:E3"/>
    <mergeCell ref="B15:E15"/>
    <mergeCell ref="B40:C40"/>
    <mergeCell ref="R2:U2"/>
    <mergeCell ref="R3:R15"/>
    <mergeCell ref="S3:S15"/>
    <mergeCell ref="R45:R46"/>
    <mergeCell ref="S45:S46"/>
    <mergeCell ref="T45:T46"/>
    <mergeCell ref="R44:T4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61"/>
  <sheetViews>
    <sheetView workbookViewId="0">
      <selection activeCell="K27" sqref="K27"/>
    </sheetView>
  </sheetViews>
  <sheetFormatPr baseColWidth="10" defaultColWidth="8.83203125" defaultRowHeight="15"/>
  <cols>
    <col min="1" max="1" width="0.83203125" customWidth="1"/>
    <col min="2" max="2" width="43.5" style="1" customWidth="1"/>
    <col min="3" max="3" width="17.83203125" style="3" customWidth="1"/>
    <col min="4" max="4" width="17.5" customWidth="1"/>
    <col min="5" max="5" width="8.6640625" customWidth="1"/>
    <col min="240" max="240" width="0.83203125" customWidth="1"/>
    <col min="241" max="241" width="57.83203125" customWidth="1"/>
    <col min="242" max="242" width="1.33203125" customWidth="1"/>
    <col min="243" max="243" width="10.5" bestFit="1" customWidth="1"/>
    <col min="244" max="244" width="11.6640625" bestFit="1" customWidth="1"/>
    <col min="245" max="245" width="13.83203125" bestFit="1" customWidth="1"/>
    <col min="246" max="246" width="10.5" bestFit="1" customWidth="1"/>
    <col min="247" max="247" width="13.33203125" customWidth="1"/>
    <col min="248" max="248" width="13.83203125" bestFit="1" customWidth="1"/>
    <col min="249" max="249" width="14.1640625" bestFit="1" customWidth="1"/>
    <col min="250" max="250" width="15.6640625" customWidth="1"/>
    <col min="251" max="251" width="13.83203125" bestFit="1" customWidth="1"/>
    <col min="252" max="252" width="26.5" customWidth="1"/>
    <col min="253" max="253" width="4.83203125" customWidth="1"/>
    <col min="254" max="254" width="168" customWidth="1"/>
    <col min="496" max="496" width="0.83203125" customWidth="1"/>
    <col min="497" max="497" width="57.83203125" customWidth="1"/>
    <col min="498" max="498" width="1.33203125" customWidth="1"/>
    <col min="499" max="499" width="10.5" bestFit="1" customWidth="1"/>
    <col min="500" max="500" width="11.6640625" bestFit="1" customWidth="1"/>
    <col min="501" max="501" width="13.83203125" bestFit="1" customWidth="1"/>
    <col min="502" max="502" width="10.5" bestFit="1" customWidth="1"/>
    <col min="503" max="503" width="13.33203125" customWidth="1"/>
    <col min="504" max="504" width="13.83203125" bestFit="1" customWidth="1"/>
    <col min="505" max="505" width="14.1640625" bestFit="1" customWidth="1"/>
    <col min="506" max="506" width="15.6640625" customWidth="1"/>
    <col min="507" max="507" width="13.83203125" bestFit="1" customWidth="1"/>
    <col min="508" max="508" width="26.5" customWidth="1"/>
    <col min="509" max="509" width="4.83203125" customWidth="1"/>
    <col min="510" max="510" width="168" customWidth="1"/>
    <col min="752" max="752" width="0.83203125" customWidth="1"/>
    <col min="753" max="753" width="57.83203125" customWidth="1"/>
    <col min="754" max="754" width="1.33203125" customWidth="1"/>
    <col min="755" max="755" width="10.5" bestFit="1" customWidth="1"/>
    <col min="756" max="756" width="11.6640625" bestFit="1" customWidth="1"/>
    <col min="757" max="757" width="13.83203125" bestFit="1" customWidth="1"/>
    <col min="758" max="758" width="10.5" bestFit="1" customWidth="1"/>
    <col min="759" max="759" width="13.33203125" customWidth="1"/>
    <col min="760" max="760" width="13.83203125" bestFit="1" customWidth="1"/>
    <col min="761" max="761" width="14.1640625" bestFit="1" customWidth="1"/>
    <col min="762" max="762" width="15.6640625" customWidth="1"/>
    <col min="763" max="763" width="13.83203125" bestFit="1" customWidth="1"/>
    <col min="764" max="764" width="26.5" customWidth="1"/>
    <col min="765" max="765" width="4.83203125" customWidth="1"/>
    <col min="766" max="766" width="168" customWidth="1"/>
    <col min="1008" max="1008" width="0.83203125" customWidth="1"/>
    <col min="1009" max="1009" width="57.83203125" customWidth="1"/>
    <col min="1010" max="1010" width="1.33203125" customWidth="1"/>
    <col min="1011" max="1011" width="10.5" bestFit="1" customWidth="1"/>
    <col min="1012" max="1012" width="11.6640625" bestFit="1" customWidth="1"/>
    <col min="1013" max="1013" width="13.83203125" bestFit="1" customWidth="1"/>
    <col min="1014" max="1014" width="10.5" bestFit="1" customWidth="1"/>
    <col min="1015" max="1015" width="13.33203125" customWidth="1"/>
    <col min="1016" max="1016" width="13.83203125" bestFit="1" customWidth="1"/>
    <col min="1017" max="1017" width="14.1640625" bestFit="1" customWidth="1"/>
    <col min="1018" max="1018" width="15.6640625" customWidth="1"/>
    <col min="1019" max="1019" width="13.83203125" bestFit="1" customWidth="1"/>
    <col min="1020" max="1020" width="26.5" customWidth="1"/>
    <col min="1021" max="1021" width="4.83203125" customWidth="1"/>
    <col min="1022" max="1022" width="168" customWidth="1"/>
    <col min="1264" max="1264" width="0.83203125" customWidth="1"/>
    <col min="1265" max="1265" width="57.83203125" customWidth="1"/>
    <col min="1266" max="1266" width="1.33203125" customWidth="1"/>
    <col min="1267" max="1267" width="10.5" bestFit="1" customWidth="1"/>
    <col min="1268" max="1268" width="11.6640625" bestFit="1" customWidth="1"/>
    <col min="1269" max="1269" width="13.83203125" bestFit="1" customWidth="1"/>
    <col min="1270" max="1270" width="10.5" bestFit="1" customWidth="1"/>
    <col min="1271" max="1271" width="13.33203125" customWidth="1"/>
    <col min="1272" max="1272" width="13.83203125" bestFit="1" customWidth="1"/>
    <col min="1273" max="1273" width="14.1640625" bestFit="1" customWidth="1"/>
    <col min="1274" max="1274" width="15.6640625" customWidth="1"/>
    <col min="1275" max="1275" width="13.83203125" bestFit="1" customWidth="1"/>
    <col min="1276" max="1276" width="26.5" customWidth="1"/>
    <col min="1277" max="1277" width="4.83203125" customWidth="1"/>
    <col min="1278" max="1278" width="168" customWidth="1"/>
    <col min="1520" max="1520" width="0.83203125" customWidth="1"/>
    <col min="1521" max="1521" width="57.83203125" customWidth="1"/>
    <col min="1522" max="1522" width="1.33203125" customWidth="1"/>
    <col min="1523" max="1523" width="10.5" bestFit="1" customWidth="1"/>
    <col min="1524" max="1524" width="11.6640625" bestFit="1" customWidth="1"/>
    <col min="1525" max="1525" width="13.83203125" bestFit="1" customWidth="1"/>
    <col min="1526" max="1526" width="10.5" bestFit="1" customWidth="1"/>
    <col min="1527" max="1527" width="13.33203125" customWidth="1"/>
    <col min="1528" max="1528" width="13.83203125" bestFit="1" customWidth="1"/>
    <col min="1529" max="1529" width="14.1640625" bestFit="1" customWidth="1"/>
    <col min="1530" max="1530" width="15.6640625" customWidth="1"/>
    <col min="1531" max="1531" width="13.83203125" bestFit="1" customWidth="1"/>
    <col min="1532" max="1532" width="26.5" customWidth="1"/>
    <col min="1533" max="1533" width="4.83203125" customWidth="1"/>
    <col min="1534" max="1534" width="168" customWidth="1"/>
    <col min="1776" max="1776" width="0.83203125" customWidth="1"/>
    <col min="1777" max="1777" width="57.83203125" customWidth="1"/>
    <col min="1778" max="1778" width="1.33203125" customWidth="1"/>
    <col min="1779" max="1779" width="10.5" bestFit="1" customWidth="1"/>
    <col min="1780" max="1780" width="11.6640625" bestFit="1" customWidth="1"/>
    <col min="1781" max="1781" width="13.83203125" bestFit="1" customWidth="1"/>
    <col min="1782" max="1782" width="10.5" bestFit="1" customWidth="1"/>
    <col min="1783" max="1783" width="13.33203125" customWidth="1"/>
    <col min="1784" max="1784" width="13.83203125" bestFit="1" customWidth="1"/>
    <col min="1785" max="1785" width="14.1640625" bestFit="1" customWidth="1"/>
    <col min="1786" max="1786" width="15.6640625" customWidth="1"/>
    <col min="1787" max="1787" width="13.83203125" bestFit="1" customWidth="1"/>
    <col min="1788" max="1788" width="26.5" customWidth="1"/>
    <col min="1789" max="1789" width="4.83203125" customWidth="1"/>
    <col min="1790" max="1790" width="168" customWidth="1"/>
    <col min="2032" max="2032" width="0.83203125" customWidth="1"/>
    <col min="2033" max="2033" width="57.83203125" customWidth="1"/>
    <col min="2034" max="2034" width="1.33203125" customWidth="1"/>
    <col min="2035" max="2035" width="10.5" bestFit="1" customWidth="1"/>
    <col min="2036" max="2036" width="11.6640625" bestFit="1" customWidth="1"/>
    <col min="2037" max="2037" width="13.83203125" bestFit="1" customWidth="1"/>
    <col min="2038" max="2038" width="10.5" bestFit="1" customWidth="1"/>
    <col min="2039" max="2039" width="13.33203125" customWidth="1"/>
    <col min="2040" max="2040" width="13.83203125" bestFit="1" customWidth="1"/>
    <col min="2041" max="2041" width="14.1640625" bestFit="1" customWidth="1"/>
    <col min="2042" max="2042" width="15.6640625" customWidth="1"/>
    <col min="2043" max="2043" width="13.83203125" bestFit="1" customWidth="1"/>
    <col min="2044" max="2044" width="26.5" customWidth="1"/>
    <col min="2045" max="2045" width="4.83203125" customWidth="1"/>
    <col min="2046" max="2046" width="168" customWidth="1"/>
    <col min="2288" max="2288" width="0.83203125" customWidth="1"/>
    <col min="2289" max="2289" width="57.83203125" customWidth="1"/>
    <col min="2290" max="2290" width="1.33203125" customWidth="1"/>
    <col min="2291" max="2291" width="10.5" bestFit="1" customWidth="1"/>
    <col min="2292" max="2292" width="11.6640625" bestFit="1" customWidth="1"/>
    <col min="2293" max="2293" width="13.83203125" bestFit="1" customWidth="1"/>
    <col min="2294" max="2294" width="10.5" bestFit="1" customWidth="1"/>
    <col min="2295" max="2295" width="13.33203125" customWidth="1"/>
    <col min="2296" max="2296" width="13.83203125" bestFit="1" customWidth="1"/>
    <col min="2297" max="2297" width="14.1640625" bestFit="1" customWidth="1"/>
    <col min="2298" max="2298" width="15.6640625" customWidth="1"/>
    <col min="2299" max="2299" width="13.83203125" bestFit="1" customWidth="1"/>
    <col min="2300" max="2300" width="26.5" customWidth="1"/>
    <col min="2301" max="2301" width="4.83203125" customWidth="1"/>
    <col min="2302" max="2302" width="168" customWidth="1"/>
    <col min="2544" max="2544" width="0.83203125" customWidth="1"/>
    <col min="2545" max="2545" width="57.83203125" customWidth="1"/>
    <col min="2546" max="2546" width="1.33203125" customWidth="1"/>
    <col min="2547" max="2547" width="10.5" bestFit="1" customWidth="1"/>
    <col min="2548" max="2548" width="11.6640625" bestFit="1" customWidth="1"/>
    <col min="2549" max="2549" width="13.83203125" bestFit="1" customWidth="1"/>
    <col min="2550" max="2550" width="10.5" bestFit="1" customWidth="1"/>
    <col min="2551" max="2551" width="13.33203125" customWidth="1"/>
    <col min="2552" max="2552" width="13.83203125" bestFit="1" customWidth="1"/>
    <col min="2553" max="2553" width="14.1640625" bestFit="1" customWidth="1"/>
    <col min="2554" max="2554" width="15.6640625" customWidth="1"/>
    <col min="2555" max="2555" width="13.83203125" bestFit="1" customWidth="1"/>
    <col min="2556" max="2556" width="26.5" customWidth="1"/>
    <col min="2557" max="2557" width="4.83203125" customWidth="1"/>
    <col min="2558" max="2558" width="168" customWidth="1"/>
    <col min="2800" max="2800" width="0.83203125" customWidth="1"/>
    <col min="2801" max="2801" width="57.83203125" customWidth="1"/>
    <col min="2802" max="2802" width="1.33203125" customWidth="1"/>
    <col min="2803" max="2803" width="10.5" bestFit="1" customWidth="1"/>
    <col min="2804" max="2804" width="11.6640625" bestFit="1" customWidth="1"/>
    <col min="2805" max="2805" width="13.83203125" bestFit="1" customWidth="1"/>
    <col min="2806" max="2806" width="10.5" bestFit="1" customWidth="1"/>
    <col min="2807" max="2807" width="13.33203125" customWidth="1"/>
    <col min="2808" max="2808" width="13.83203125" bestFit="1" customWidth="1"/>
    <col min="2809" max="2809" width="14.1640625" bestFit="1" customWidth="1"/>
    <col min="2810" max="2810" width="15.6640625" customWidth="1"/>
    <col min="2811" max="2811" width="13.83203125" bestFit="1" customWidth="1"/>
    <col min="2812" max="2812" width="26.5" customWidth="1"/>
    <col min="2813" max="2813" width="4.83203125" customWidth="1"/>
    <col min="2814" max="2814" width="168" customWidth="1"/>
    <col min="3056" max="3056" width="0.83203125" customWidth="1"/>
    <col min="3057" max="3057" width="57.83203125" customWidth="1"/>
    <col min="3058" max="3058" width="1.33203125" customWidth="1"/>
    <col min="3059" max="3059" width="10.5" bestFit="1" customWidth="1"/>
    <col min="3060" max="3060" width="11.6640625" bestFit="1" customWidth="1"/>
    <col min="3061" max="3061" width="13.83203125" bestFit="1" customWidth="1"/>
    <col min="3062" max="3062" width="10.5" bestFit="1" customWidth="1"/>
    <col min="3063" max="3063" width="13.33203125" customWidth="1"/>
    <col min="3064" max="3064" width="13.83203125" bestFit="1" customWidth="1"/>
    <col min="3065" max="3065" width="14.1640625" bestFit="1" customWidth="1"/>
    <col min="3066" max="3066" width="15.6640625" customWidth="1"/>
    <col min="3067" max="3067" width="13.83203125" bestFit="1" customWidth="1"/>
    <col min="3068" max="3068" width="26.5" customWidth="1"/>
    <col min="3069" max="3069" width="4.83203125" customWidth="1"/>
    <col min="3070" max="3070" width="168" customWidth="1"/>
    <col min="3312" max="3312" width="0.83203125" customWidth="1"/>
    <col min="3313" max="3313" width="57.83203125" customWidth="1"/>
    <col min="3314" max="3314" width="1.33203125" customWidth="1"/>
    <col min="3315" max="3315" width="10.5" bestFit="1" customWidth="1"/>
    <col min="3316" max="3316" width="11.6640625" bestFit="1" customWidth="1"/>
    <col min="3317" max="3317" width="13.83203125" bestFit="1" customWidth="1"/>
    <col min="3318" max="3318" width="10.5" bestFit="1" customWidth="1"/>
    <col min="3319" max="3319" width="13.33203125" customWidth="1"/>
    <col min="3320" max="3320" width="13.83203125" bestFit="1" customWidth="1"/>
    <col min="3321" max="3321" width="14.1640625" bestFit="1" customWidth="1"/>
    <col min="3322" max="3322" width="15.6640625" customWidth="1"/>
    <col min="3323" max="3323" width="13.83203125" bestFit="1" customWidth="1"/>
    <col min="3324" max="3324" width="26.5" customWidth="1"/>
    <col min="3325" max="3325" width="4.83203125" customWidth="1"/>
    <col min="3326" max="3326" width="168" customWidth="1"/>
    <col min="3568" max="3568" width="0.83203125" customWidth="1"/>
    <col min="3569" max="3569" width="57.83203125" customWidth="1"/>
    <col min="3570" max="3570" width="1.33203125" customWidth="1"/>
    <col min="3571" max="3571" width="10.5" bestFit="1" customWidth="1"/>
    <col min="3572" max="3572" width="11.6640625" bestFit="1" customWidth="1"/>
    <col min="3573" max="3573" width="13.83203125" bestFit="1" customWidth="1"/>
    <col min="3574" max="3574" width="10.5" bestFit="1" customWidth="1"/>
    <col min="3575" max="3575" width="13.33203125" customWidth="1"/>
    <col min="3576" max="3576" width="13.83203125" bestFit="1" customWidth="1"/>
    <col min="3577" max="3577" width="14.1640625" bestFit="1" customWidth="1"/>
    <col min="3578" max="3578" width="15.6640625" customWidth="1"/>
    <col min="3579" max="3579" width="13.83203125" bestFit="1" customWidth="1"/>
    <col min="3580" max="3580" width="26.5" customWidth="1"/>
    <col min="3581" max="3581" width="4.83203125" customWidth="1"/>
    <col min="3582" max="3582" width="168" customWidth="1"/>
    <col min="3824" max="3824" width="0.83203125" customWidth="1"/>
    <col min="3825" max="3825" width="57.83203125" customWidth="1"/>
    <col min="3826" max="3826" width="1.33203125" customWidth="1"/>
    <col min="3827" max="3827" width="10.5" bestFit="1" customWidth="1"/>
    <col min="3828" max="3828" width="11.6640625" bestFit="1" customWidth="1"/>
    <col min="3829" max="3829" width="13.83203125" bestFit="1" customWidth="1"/>
    <col min="3830" max="3830" width="10.5" bestFit="1" customWidth="1"/>
    <col min="3831" max="3831" width="13.33203125" customWidth="1"/>
    <col min="3832" max="3832" width="13.83203125" bestFit="1" customWidth="1"/>
    <col min="3833" max="3833" width="14.1640625" bestFit="1" customWidth="1"/>
    <col min="3834" max="3834" width="15.6640625" customWidth="1"/>
    <col min="3835" max="3835" width="13.83203125" bestFit="1" customWidth="1"/>
    <col min="3836" max="3836" width="26.5" customWidth="1"/>
    <col min="3837" max="3837" width="4.83203125" customWidth="1"/>
    <col min="3838" max="3838" width="168" customWidth="1"/>
    <col min="4080" max="4080" width="0.83203125" customWidth="1"/>
    <col min="4081" max="4081" width="57.83203125" customWidth="1"/>
    <col min="4082" max="4082" width="1.33203125" customWidth="1"/>
    <col min="4083" max="4083" width="10.5" bestFit="1" customWidth="1"/>
    <col min="4084" max="4084" width="11.6640625" bestFit="1" customWidth="1"/>
    <col min="4085" max="4085" width="13.83203125" bestFit="1" customWidth="1"/>
    <col min="4086" max="4086" width="10.5" bestFit="1" customWidth="1"/>
    <col min="4087" max="4087" width="13.33203125" customWidth="1"/>
    <col min="4088" max="4088" width="13.83203125" bestFit="1" customWidth="1"/>
    <col min="4089" max="4089" width="14.1640625" bestFit="1" customWidth="1"/>
    <col min="4090" max="4090" width="15.6640625" customWidth="1"/>
    <col min="4091" max="4091" width="13.83203125" bestFit="1" customWidth="1"/>
    <col min="4092" max="4092" width="26.5" customWidth="1"/>
    <col min="4093" max="4093" width="4.83203125" customWidth="1"/>
    <col min="4094" max="4094" width="168" customWidth="1"/>
    <col min="4336" max="4336" width="0.83203125" customWidth="1"/>
    <col min="4337" max="4337" width="57.83203125" customWidth="1"/>
    <col min="4338" max="4338" width="1.33203125" customWidth="1"/>
    <col min="4339" max="4339" width="10.5" bestFit="1" customWidth="1"/>
    <col min="4340" max="4340" width="11.6640625" bestFit="1" customWidth="1"/>
    <col min="4341" max="4341" width="13.83203125" bestFit="1" customWidth="1"/>
    <col min="4342" max="4342" width="10.5" bestFit="1" customWidth="1"/>
    <col min="4343" max="4343" width="13.33203125" customWidth="1"/>
    <col min="4344" max="4344" width="13.83203125" bestFit="1" customWidth="1"/>
    <col min="4345" max="4345" width="14.1640625" bestFit="1" customWidth="1"/>
    <col min="4346" max="4346" width="15.6640625" customWidth="1"/>
    <col min="4347" max="4347" width="13.83203125" bestFit="1" customWidth="1"/>
    <col min="4348" max="4348" width="26.5" customWidth="1"/>
    <col min="4349" max="4349" width="4.83203125" customWidth="1"/>
    <col min="4350" max="4350" width="168" customWidth="1"/>
    <col min="4592" max="4592" width="0.83203125" customWidth="1"/>
    <col min="4593" max="4593" width="57.83203125" customWidth="1"/>
    <col min="4594" max="4594" width="1.33203125" customWidth="1"/>
    <col min="4595" max="4595" width="10.5" bestFit="1" customWidth="1"/>
    <col min="4596" max="4596" width="11.6640625" bestFit="1" customWidth="1"/>
    <col min="4597" max="4597" width="13.83203125" bestFit="1" customWidth="1"/>
    <col min="4598" max="4598" width="10.5" bestFit="1" customWidth="1"/>
    <col min="4599" max="4599" width="13.33203125" customWidth="1"/>
    <col min="4600" max="4600" width="13.83203125" bestFit="1" customWidth="1"/>
    <col min="4601" max="4601" width="14.1640625" bestFit="1" customWidth="1"/>
    <col min="4602" max="4602" width="15.6640625" customWidth="1"/>
    <col min="4603" max="4603" width="13.83203125" bestFit="1" customWidth="1"/>
    <col min="4604" max="4604" width="26.5" customWidth="1"/>
    <col min="4605" max="4605" width="4.83203125" customWidth="1"/>
    <col min="4606" max="4606" width="168" customWidth="1"/>
    <col min="4848" max="4848" width="0.83203125" customWidth="1"/>
    <col min="4849" max="4849" width="57.83203125" customWidth="1"/>
    <col min="4850" max="4850" width="1.33203125" customWidth="1"/>
    <col min="4851" max="4851" width="10.5" bestFit="1" customWidth="1"/>
    <col min="4852" max="4852" width="11.6640625" bestFit="1" customWidth="1"/>
    <col min="4853" max="4853" width="13.83203125" bestFit="1" customWidth="1"/>
    <col min="4854" max="4854" width="10.5" bestFit="1" customWidth="1"/>
    <col min="4855" max="4855" width="13.33203125" customWidth="1"/>
    <col min="4856" max="4856" width="13.83203125" bestFit="1" customWidth="1"/>
    <col min="4857" max="4857" width="14.1640625" bestFit="1" customWidth="1"/>
    <col min="4858" max="4858" width="15.6640625" customWidth="1"/>
    <col min="4859" max="4859" width="13.83203125" bestFit="1" customWidth="1"/>
    <col min="4860" max="4860" width="26.5" customWidth="1"/>
    <col min="4861" max="4861" width="4.83203125" customWidth="1"/>
    <col min="4862" max="4862" width="168" customWidth="1"/>
    <col min="5104" max="5104" width="0.83203125" customWidth="1"/>
    <col min="5105" max="5105" width="57.83203125" customWidth="1"/>
    <col min="5106" max="5106" width="1.33203125" customWidth="1"/>
    <col min="5107" max="5107" width="10.5" bestFit="1" customWidth="1"/>
    <col min="5108" max="5108" width="11.6640625" bestFit="1" customWidth="1"/>
    <col min="5109" max="5109" width="13.83203125" bestFit="1" customWidth="1"/>
    <col min="5110" max="5110" width="10.5" bestFit="1" customWidth="1"/>
    <col min="5111" max="5111" width="13.33203125" customWidth="1"/>
    <col min="5112" max="5112" width="13.83203125" bestFit="1" customWidth="1"/>
    <col min="5113" max="5113" width="14.1640625" bestFit="1" customWidth="1"/>
    <col min="5114" max="5114" width="15.6640625" customWidth="1"/>
    <col min="5115" max="5115" width="13.83203125" bestFit="1" customWidth="1"/>
    <col min="5116" max="5116" width="26.5" customWidth="1"/>
    <col min="5117" max="5117" width="4.83203125" customWidth="1"/>
    <col min="5118" max="5118" width="168" customWidth="1"/>
    <col min="5360" max="5360" width="0.83203125" customWidth="1"/>
    <col min="5361" max="5361" width="57.83203125" customWidth="1"/>
    <col min="5362" max="5362" width="1.33203125" customWidth="1"/>
    <col min="5363" max="5363" width="10.5" bestFit="1" customWidth="1"/>
    <col min="5364" max="5364" width="11.6640625" bestFit="1" customWidth="1"/>
    <col min="5365" max="5365" width="13.83203125" bestFit="1" customWidth="1"/>
    <col min="5366" max="5366" width="10.5" bestFit="1" customWidth="1"/>
    <col min="5367" max="5367" width="13.33203125" customWidth="1"/>
    <col min="5368" max="5368" width="13.83203125" bestFit="1" customWidth="1"/>
    <col min="5369" max="5369" width="14.1640625" bestFit="1" customWidth="1"/>
    <col min="5370" max="5370" width="15.6640625" customWidth="1"/>
    <col min="5371" max="5371" width="13.83203125" bestFit="1" customWidth="1"/>
    <col min="5372" max="5372" width="26.5" customWidth="1"/>
    <col min="5373" max="5373" width="4.83203125" customWidth="1"/>
    <col min="5374" max="5374" width="168" customWidth="1"/>
    <col min="5616" max="5616" width="0.83203125" customWidth="1"/>
    <col min="5617" max="5617" width="57.83203125" customWidth="1"/>
    <col min="5618" max="5618" width="1.33203125" customWidth="1"/>
    <col min="5619" max="5619" width="10.5" bestFit="1" customWidth="1"/>
    <col min="5620" max="5620" width="11.6640625" bestFit="1" customWidth="1"/>
    <col min="5621" max="5621" width="13.83203125" bestFit="1" customWidth="1"/>
    <col min="5622" max="5622" width="10.5" bestFit="1" customWidth="1"/>
    <col min="5623" max="5623" width="13.33203125" customWidth="1"/>
    <col min="5624" max="5624" width="13.83203125" bestFit="1" customWidth="1"/>
    <col min="5625" max="5625" width="14.1640625" bestFit="1" customWidth="1"/>
    <col min="5626" max="5626" width="15.6640625" customWidth="1"/>
    <col min="5627" max="5627" width="13.83203125" bestFit="1" customWidth="1"/>
    <col min="5628" max="5628" width="26.5" customWidth="1"/>
    <col min="5629" max="5629" width="4.83203125" customWidth="1"/>
    <col min="5630" max="5630" width="168" customWidth="1"/>
    <col min="5872" max="5872" width="0.83203125" customWidth="1"/>
    <col min="5873" max="5873" width="57.83203125" customWidth="1"/>
    <col min="5874" max="5874" width="1.33203125" customWidth="1"/>
    <col min="5875" max="5875" width="10.5" bestFit="1" customWidth="1"/>
    <col min="5876" max="5876" width="11.6640625" bestFit="1" customWidth="1"/>
    <col min="5877" max="5877" width="13.83203125" bestFit="1" customWidth="1"/>
    <col min="5878" max="5878" width="10.5" bestFit="1" customWidth="1"/>
    <col min="5879" max="5879" width="13.33203125" customWidth="1"/>
    <col min="5880" max="5880" width="13.83203125" bestFit="1" customWidth="1"/>
    <col min="5881" max="5881" width="14.1640625" bestFit="1" customWidth="1"/>
    <col min="5882" max="5882" width="15.6640625" customWidth="1"/>
    <col min="5883" max="5883" width="13.83203125" bestFit="1" customWidth="1"/>
    <col min="5884" max="5884" width="26.5" customWidth="1"/>
    <col min="5885" max="5885" width="4.83203125" customWidth="1"/>
    <col min="5886" max="5886" width="168" customWidth="1"/>
    <col min="6128" max="6128" width="0.83203125" customWidth="1"/>
    <col min="6129" max="6129" width="57.83203125" customWidth="1"/>
    <col min="6130" max="6130" width="1.33203125" customWidth="1"/>
    <col min="6131" max="6131" width="10.5" bestFit="1" customWidth="1"/>
    <col min="6132" max="6132" width="11.6640625" bestFit="1" customWidth="1"/>
    <col min="6133" max="6133" width="13.83203125" bestFit="1" customWidth="1"/>
    <col min="6134" max="6134" width="10.5" bestFit="1" customWidth="1"/>
    <col min="6135" max="6135" width="13.33203125" customWidth="1"/>
    <col min="6136" max="6136" width="13.83203125" bestFit="1" customWidth="1"/>
    <col min="6137" max="6137" width="14.1640625" bestFit="1" customWidth="1"/>
    <col min="6138" max="6138" width="15.6640625" customWidth="1"/>
    <col min="6139" max="6139" width="13.83203125" bestFit="1" customWidth="1"/>
    <col min="6140" max="6140" width="26.5" customWidth="1"/>
    <col min="6141" max="6141" width="4.83203125" customWidth="1"/>
    <col min="6142" max="6142" width="168" customWidth="1"/>
    <col min="6384" max="6384" width="0.83203125" customWidth="1"/>
    <col min="6385" max="6385" width="57.83203125" customWidth="1"/>
    <col min="6386" max="6386" width="1.33203125" customWidth="1"/>
    <col min="6387" max="6387" width="10.5" bestFit="1" customWidth="1"/>
    <col min="6388" max="6388" width="11.6640625" bestFit="1" customWidth="1"/>
    <col min="6389" max="6389" width="13.83203125" bestFit="1" customWidth="1"/>
    <col min="6390" max="6390" width="10.5" bestFit="1" customWidth="1"/>
    <col min="6391" max="6391" width="13.33203125" customWidth="1"/>
    <col min="6392" max="6392" width="13.83203125" bestFit="1" customWidth="1"/>
    <col min="6393" max="6393" width="14.1640625" bestFit="1" customWidth="1"/>
    <col min="6394" max="6394" width="15.6640625" customWidth="1"/>
    <col min="6395" max="6395" width="13.83203125" bestFit="1" customWidth="1"/>
    <col min="6396" max="6396" width="26.5" customWidth="1"/>
    <col min="6397" max="6397" width="4.83203125" customWidth="1"/>
    <col min="6398" max="6398" width="168" customWidth="1"/>
    <col min="6640" max="6640" width="0.83203125" customWidth="1"/>
    <col min="6641" max="6641" width="57.83203125" customWidth="1"/>
    <col min="6642" max="6642" width="1.33203125" customWidth="1"/>
    <col min="6643" max="6643" width="10.5" bestFit="1" customWidth="1"/>
    <col min="6644" max="6644" width="11.6640625" bestFit="1" customWidth="1"/>
    <col min="6645" max="6645" width="13.83203125" bestFit="1" customWidth="1"/>
    <col min="6646" max="6646" width="10.5" bestFit="1" customWidth="1"/>
    <col min="6647" max="6647" width="13.33203125" customWidth="1"/>
    <col min="6648" max="6648" width="13.83203125" bestFit="1" customWidth="1"/>
    <col min="6649" max="6649" width="14.1640625" bestFit="1" customWidth="1"/>
    <col min="6650" max="6650" width="15.6640625" customWidth="1"/>
    <col min="6651" max="6651" width="13.83203125" bestFit="1" customWidth="1"/>
    <col min="6652" max="6652" width="26.5" customWidth="1"/>
    <col min="6653" max="6653" width="4.83203125" customWidth="1"/>
    <col min="6654" max="6654" width="168" customWidth="1"/>
    <col min="6896" max="6896" width="0.83203125" customWidth="1"/>
    <col min="6897" max="6897" width="57.83203125" customWidth="1"/>
    <col min="6898" max="6898" width="1.33203125" customWidth="1"/>
    <col min="6899" max="6899" width="10.5" bestFit="1" customWidth="1"/>
    <col min="6900" max="6900" width="11.6640625" bestFit="1" customWidth="1"/>
    <col min="6901" max="6901" width="13.83203125" bestFit="1" customWidth="1"/>
    <col min="6902" max="6902" width="10.5" bestFit="1" customWidth="1"/>
    <col min="6903" max="6903" width="13.33203125" customWidth="1"/>
    <col min="6904" max="6904" width="13.83203125" bestFit="1" customWidth="1"/>
    <col min="6905" max="6905" width="14.1640625" bestFit="1" customWidth="1"/>
    <col min="6906" max="6906" width="15.6640625" customWidth="1"/>
    <col min="6907" max="6907" width="13.83203125" bestFit="1" customWidth="1"/>
    <col min="6908" max="6908" width="26.5" customWidth="1"/>
    <col min="6909" max="6909" width="4.83203125" customWidth="1"/>
    <col min="6910" max="6910" width="168" customWidth="1"/>
    <col min="7152" max="7152" width="0.83203125" customWidth="1"/>
    <col min="7153" max="7153" width="57.83203125" customWidth="1"/>
    <col min="7154" max="7154" width="1.33203125" customWidth="1"/>
    <col min="7155" max="7155" width="10.5" bestFit="1" customWidth="1"/>
    <col min="7156" max="7156" width="11.6640625" bestFit="1" customWidth="1"/>
    <col min="7157" max="7157" width="13.83203125" bestFit="1" customWidth="1"/>
    <col min="7158" max="7158" width="10.5" bestFit="1" customWidth="1"/>
    <col min="7159" max="7159" width="13.33203125" customWidth="1"/>
    <col min="7160" max="7160" width="13.83203125" bestFit="1" customWidth="1"/>
    <col min="7161" max="7161" width="14.1640625" bestFit="1" customWidth="1"/>
    <col min="7162" max="7162" width="15.6640625" customWidth="1"/>
    <col min="7163" max="7163" width="13.83203125" bestFit="1" customWidth="1"/>
    <col min="7164" max="7164" width="26.5" customWidth="1"/>
    <col min="7165" max="7165" width="4.83203125" customWidth="1"/>
    <col min="7166" max="7166" width="168" customWidth="1"/>
    <col min="7408" max="7408" width="0.83203125" customWidth="1"/>
    <col min="7409" max="7409" width="57.83203125" customWidth="1"/>
    <col min="7410" max="7410" width="1.33203125" customWidth="1"/>
    <col min="7411" max="7411" width="10.5" bestFit="1" customWidth="1"/>
    <col min="7412" max="7412" width="11.6640625" bestFit="1" customWidth="1"/>
    <col min="7413" max="7413" width="13.83203125" bestFit="1" customWidth="1"/>
    <col min="7414" max="7414" width="10.5" bestFit="1" customWidth="1"/>
    <col min="7415" max="7415" width="13.33203125" customWidth="1"/>
    <col min="7416" max="7416" width="13.83203125" bestFit="1" customWidth="1"/>
    <col min="7417" max="7417" width="14.1640625" bestFit="1" customWidth="1"/>
    <col min="7418" max="7418" width="15.6640625" customWidth="1"/>
    <col min="7419" max="7419" width="13.83203125" bestFit="1" customWidth="1"/>
    <col min="7420" max="7420" width="26.5" customWidth="1"/>
    <col min="7421" max="7421" width="4.83203125" customWidth="1"/>
    <col min="7422" max="7422" width="168" customWidth="1"/>
    <col min="7664" max="7664" width="0.83203125" customWidth="1"/>
    <col min="7665" max="7665" width="57.83203125" customWidth="1"/>
    <col min="7666" max="7666" width="1.33203125" customWidth="1"/>
    <col min="7667" max="7667" width="10.5" bestFit="1" customWidth="1"/>
    <col min="7668" max="7668" width="11.6640625" bestFit="1" customWidth="1"/>
    <col min="7669" max="7669" width="13.83203125" bestFit="1" customWidth="1"/>
    <col min="7670" max="7670" width="10.5" bestFit="1" customWidth="1"/>
    <col min="7671" max="7671" width="13.33203125" customWidth="1"/>
    <col min="7672" max="7672" width="13.83203125" bestFit="1" customWidth="1"/>
    <col min="7673" max="7673" width="14.1640625" bestFit="1" customWidth="1"/>
    <col min="7674" max="7674" width="15.6640625" customWidth="1"/>
    <col min="7675" max="7675" width="13.83203125" bestFit="1" customWidth="1"/>
    <col min="7676" max="7676" width="26.5" customWidth="1"/>
    <col min="7677" max="7677" width="4.83203125" customWidth="1"/>
    <col min="7678" max="7678" width="168" customWidth="1"/>
    <col min="7920" max="7920" width="0.83203125" customWidth="1"/>
    <col min="7921" max="7921" width="57.83203125" customWidth="1"/>
    <col min="7922" max="7922" width="1.33203125" customWidth="1"/>
    <col min="7923" max="7923" width="10.5" bestFit="1" customWidth="1"/>
    <col min="7924" max="7924" width="11.6640625" bestFit="1" customWidth="1"/>
    <col min="7925" max="7925" width="13.83203125" bestFit="1" customWidth="1"/>
    <col min="7926" max="7926" width="10.5" bestFit="1" customWidth="1"/>
    <col min="7927" max="7927" width="13.33203125" customWidth="1"/>
    <col min="7928" max="7928" width="13.83203125" bestFit="1" customWidth="1"/>
    <col min="7929" max="7929" width="14.1640625" bestFit="1" customWidth="1"/>
    <col min="7930" max="7930" width="15.6640625" customWidth="1"/>
    <col min="7931" max="7931" width="13.83203125" bestFit="1" customWidth="1"/>
    <col min="7932" max="7932" width="26.5" customWidth="1"/>
    <col min="7933" max="7933" width="4.83203125" customWidth="1"/>
    <col min="7934" max="7934" width="168" customWidth="1"/>
    <col min="8176" max="8176" width="0.83203125" customWidth="1"/>
    <col min="8177" max="8177" width="57.83203125" customWidth="1"/>
    <col min="8178" max="8178" width="1.33203125" customWidth="1"/>
    <col min="8179" max="8179" width="10.5" bestFit="1" customWidth="1"/>
    <col min="8180" max="8180" width="11.6640625" bestFit="1" customWidth="1"/>
    <col min="8181" max="8181" width="13.83203125" bestFit="1" customWidth="1"/>
    <col min="8182" max="8182" width="10.5" bestFit="1" customWidth="1"/>
    <col min="8183" max="8183" width="13.33203125" customWidth="1"/>
    <col min="8184" max="8184" width="13.83203125" bestFit="1" customWidth="1"/>
    <col min="8185" max="8185" width="14.1640625" bestFit="1" customWidth="1"/>
    <col min="8186" max="8186" width="15.6640625" customWidth="1"/>
    <col min="8187" max="8187" width="13.83203125" bestFit="1" customWidth="1"/>
    <col min="8188" max="8188" width="26.5" customWidth="1"/>
    <col min="8189" max="8189" width="4.83203125" customWidth="1"/>
    <col min="8190" max="8190" width="168" customWidth="1"/>
    <col min="8432" max="8432" width="0.83203125" customWidth="1"/>
    <col min="8433" max="8433" width="57.83203125" customWidth="1"/>
    <col min="8434" max="8434" width="1.33203125" customWidth="1"/>
    <col min="8435" max="8435" width="10.5" bestFit="1" customWidth="1"/>
    <col min="8436" max="8436" width="11.6640625" bestFit="1" customWidth="1"/>
    <col min="8437" max="8437" width="13.83203125" bestFit="1" customWidth="1"/>
    <col min="8438" max="8438" width="10.5" bestFit="1" customWidth="1"/>
    <col min="8439" max="8439" width="13.33203125" customWidth="1"/>
    <col min="8440" max="8440" width="13.83203125" bestFit="1" customWidth="1"/>
    <col min="8441" max="8441" width="14.1640625" bestFit="1" customWidth="1"/>
    <col min="8442" max="8442" width="15.6640625" customWidth="1"/>
    <col min="8443" max="8443" width="13.83203125" bestFit="1" customWidth="1"/>
    <col min="8444" max="8444" width="26.5" customWidth="1"/>
    <col min="8445" max="8445" width="4.83203125" customWidth="1"/>
    <col min="8446" max="8446" width="168" customWidth="1"/>
    <col min="8688" max="8688" width="0.83203125" customWidth="1"/>
    <col min="8689" max="8689" width="57.83203125" customWidth="1"/>
    <col min="8690" max="8690" width="1.33203125" customWidth="1"/>
    <col min="8691" max="8691" width="10.5" bestFit="1" customWidth="1"/>
    <col min="8692" max="8692" width="11.6640625" bestFit="1" customWidth="1"/>
    <col min="8693" max="8693" width="13.83203125" bestFit="1" customWidth="1"/>
    <col min="8694" max="8694" width="10.5" bestFit="1" customWidth="1"/>
    <col min="8695" max="8695" width="13.33203125" customWidth="1"/>
    <col min="8696" max="8696" width="13.83203125" bestFit="1" customWidth="1"/>
    <col min="8697" max="8697" width="14.1640625" bestFit="1" customWidth="1"/>
    <col min="8698" max="8698" width="15.6640625" customWidth="1"/>
    <col min="8699" max="8699" width="13.83203125" bestFit="1" customWidth="1"/>
    <col min="8700" max="8700" width="26.5" customWidth="1"/>
    <col min="8701" max="8701" width="4.83203125" customWidth="1"/>
    <col min="8702" max="8702" width="168" customWidth="1"/>
    <col min="8944" max="8944" width="0.83203125" customWidth="1"/>
    <col min="8945" max="8945" width="57.83203125" customWidth="1"/>
    <col min="8946" max="8946" width="1.33203125" customWidth="1"/>
    <col min="8947" max="8947" width="10.5" bestFit="1" customWidth="1"/>
    <col min="8948" max="8948" width="11.6640625" bestFit="1" customWidth="1"/>
    <col min="8949" max="8949" width="13.83203125" bestFit="1" customWidth="1"/>
    <col min="8950" max="8950" width="10.5" bestFit="1" customWidth="1"/>
    <col min="8951" max="8951" width="13.33203125" customWidth="1"/>
    <col min="8952" max="8952" width="13.83203125" bestFit="1" customWidth="1"/>
    <col min="8953" max="8953" width="14.1640625" bestFit="1" customWidth="1"/>
    <col min="8954" max="8954" width="15.6640625" customWidth="1"/>
    <col min="8955" max="8955" width="13.83203125" bestFit="1" customWidth="1"/>
    <col min="8956" max="8956" width="26.5" customWidth="1"/>
    <col min="8957" max="8957" width="4.83203125" customWidth="1"/>
    <col min="8958" max="8958" width="168" customWidth="1"/>
    <col min="9200" max="9200" width="0.83203125" customWidth="1"/>
    <col min="9201" max="9201" width="57.83203125" customWidth="1"/>
    <col min="9202" max="9202" width="1.33203125" customWidth="1"/>
    <col min="9203" max="9203" width="10.5" bestFit="1" customWidth="1"/>
    <col min="9204" max="9204" width="11.6640625" bestFit="1" customWidth="1"/>
    <col min="9205" max="9205" width="13.83203125" bestFit="1" customWidth="1"/>
    <col min="9206" max="9206" width="10.5" bestFit="1" customWidth="1"/>
    <col min="9207" max="9207" width="13.33203125" customWidth="1"/>
    <col min="9208" max="9208" width="13.83203125" bestFit="1" customWidth="1"/>
    <col min="9209" max="9209" width="14.1640625" bestFit="1" customWidth="1"/>
    <col min="9210" max="9210" width="15.6640625" customWidth="1"/>
    <col min="9211" max="9211" width="13.83203125" bestFit="1" customWidth="1"/>
    <col min="9212" max="9212" width="26.5" customWidth="1"/>
    <col min="9213" max="9213" width="4.83203125" customWidth="1"/>
    <col min="9214" max="9214" width="168" customWidth="1"/>
    <col min="9456" max="9456" width="0.83203125" customWidth="1"/>
    <col min="9457" max="9457" width="57.83203125" customWidth="1"/>
    <col min="9458" max="9458" width="1.33203125" customWidth="1"/>
    <col min="9459" max="9459" width="10.5" bestFit="1" customWidth="1"/>
    <col min="9460" max="9460" width="11.6640625" bestFit="1" customWidth="1"/>
    <col min="9461" max="9461" width="13.83203125" bestFit="1" customWidth="1"/>
    <col min="9462" max="9462" width="10.5" bestFit="1" customWidth="1"/>
    <col min="9463" max="9463" width="13.33203125" customWidth="1"/>
    <col min="9464" max="9464" width="13.83203125" bestFit="1" customWidth="1"/>
    <col min="9465" max="9465" width="14.1640625" bestFit="1" customWidth="1"/>
    <col min="9466" max="9466" width="15.6640625" customWidth="1"/>
    <col min="9467" max="9467" width="13.83203125" bestFit="1" customWidth="1"/>
    <col min="9468" max="9468" width="26.5" customWidth="1"/>
    <col min="9469" max="9469" width="4.83203125" customWidth="1"/>
    <col min="9470" max="9470" width="168" customWidth="1"/>
    <col min="9712" max="9712" width="0.83203125" customWidth="1"/>
    <col min="9713" max="9713" width="57.83203125" customWidth="1"/>
    <col min="9714" max="9714" width="1.33203125" customWidth="1"/>
    <col min="9715" max="9715" width="10.5" bestFit="1" customWidth="1"/>
    <col min="9716" max="9716" width="11.6640625" bestFit="1" customWidth="1"/>
    <col min="9717" max="9717" width="13.83203125" bestFit="1" customWidth="1"/>
    <col min="9718" max="9718" width="10.5" bestFit="1" customWidth="1"/>
    <col min="9719" max="9719" width="13.33203125" customWidth="1"/>
    <col min="9720" max="9720" width="13.83203125" bestFit="1" customWidth="1"/>
    <col min="9721" max="9721" width="14.1640625" bestFit="1" customWidth="1"/>
    <col min="9722" max="9722" width="15.6640625" customWidth="1"/>
    <col min="9723" max="9723" width="13.83203125" bestFit="1" customWidth="1"/>
    <col min="9724" max="9724" width="26.5" customWidth="1"/>
    <col min="9725" max="9725" width="4.83203125" customWidth="1"/>
    <col min="9726" max="9726" width="168" customWidth="1"/>
    <col min="9968" max="9968" width="0.83203125" customWidth="1"/>
    <col min="9969" max="9969" width="57.83203125" customWidth="1"/>
    <col min="9970" max="9970" width="1.33203125" customWidth="1"/>
    <col min="9971" max="9971" width="10.5" bestFit="1" customWidth="1"/>
    <col min="9972" max="9972" width="11.6640625" bestFit="1" customWidth="1"/>
    <col min="9973" max="9973" width="13.83203125" bestFit="1" customWidth="1"/>
    <col min="9974" max="9974" width="10.5" bestFit="1" customWidth="1"/>
    <col min="9975" max="9975" width="13.33203125" customWidth="1"/>
    <col min="9976" max="9976" width="13.83203125" bestFit="1" customWidth="1"/>
    <col min="9977" max="9977" width="14.1640625" bestFit="1" customWidth="1"/>
    <col min="9978" max="9978" width="15.6640625" customWidth="1"/>
    <col min="9979" max="9979" width="13.83203125" bestFit="1" customWidth="1"/>
    <col min="9980" max="9980" width="26.5" customWidth="1"/>
    <col min="9981" max="9981" width="4.83203125" customWidth="1"/>
    <col min="9982" max="9982" width="168" customWidth="1"/>
    <col min="10224" max="10224" width="0.83203125" customWidth="1"/>
    <col min="10225" max="10225" width="57.83203125" customWidth="1"/>
    <col min="10226" max="10226" width="1.33203125" customWidth="1"/>
    <col min="10227" max="10227" width="10.5" bestFit="1" customWidth="1"/>
    <col min="10228" max="10228" width="11.6640625" bestFit="1" customWidth="1"/>
    <col min="10229" max="10229" width="13.83203125" bestFit="1" customWidth="1"/>
    <col min="10230" max="10230" width="10.5" bestFit="1" customWidth="1"/>
    <col min="10231" max="10231" width="13.33203125" customWidth="1"/>
    <col min="10232" max="10232" width="13.83203125" bestFit="1" customWidth="1"/>
    <col min="10233" max="10233" width="14.1640625" bestFit="1" customWidth="1"/>
    <col min="10234" max="10234" width="15.6640625" customWidth="1"/>
    <col min="10235" max="10235" width="13.83203125" bestFit="1" customWidth="1"/>
    <col min="10236" max="10236" width="26.5" customWidth="1"/>
    <col min="10237" max="10237" width="4.83203125" customWidth="1"/>
    <col min="10238" max="10238" width="168" customWidth="1"/>
    <col min="10480" max="10480" width="0.83203125" customWidth="1"/>
    <col min="10481" max="10481" width="57.83203125" customWidth="1"/>
    <col min="10482" max="10482" width="1.33203125" customWidth="1"/>
    <col min="10483" max="10483" width="10.5" bestFit="1" customWidth="1"/>
    <col min="10484" max="10484" width="11.6640625" bestFit="1" customWidth="1"/>
    <col min="10485" max="10485" width="13.83203125" bestFit="1" customWidth="1"/>
    <col min="10486" max="10486" width="10.5" bestFit="1" customWidth="1"/>
    <col min="10487" max="10487" width="13.33203125" customWidth="1"/>
    <col min="10488" max="10488" width="13.83203125" bestFit="1" customWidth="1"/>
    <col min="10489" max="10489" width="14.1640625" bestFit="1" customWidth="1"/>
    <col min="10490" max="10490" width="15.6640625" customWidth="1"/>
    <col min="10491" max="10491" width="13.83203125" bestFit="1" customWidth="1"/>
    <col min="10492" max="10492" width="26.5" customWidth="1"/>
    <col min="10493" max="10493" width="4.83203125" customWidth="1"/>
    <col min="10494" max="10494" width="168" customWidth="1"/>
    <col min="10736" max="10736" width="0.83203125" customWidth="1"/>
    <col min="10737" max="10737" width="57.83203125" customWidth="1"/>
    <col min="10738" max="10738" width="1.33203125" customWidth="1"/>
    <col min="10739" max="10739" width="10.5" bestFit="1" customWidth="1"/>
    <col min="10740" max="10740" width="11.6640625" bestFit="1" customWidth="1"/>
    <col min="10741" max="10741" width="13.83203125" bestFit="1" customWidth="1"/>
    <col min="10742" max="10742" width="10.5" bestFit="1" customWidth="1"/>
    <col min="10743" max="10743" width="13.33203125" customWidth="1"/>
    <col min="10744" max="10744" width="13.83203125" bestFit="1" customWidth="1"/>
    <col min="10745" max="10745" width="14.1640625" bestFit="1" customWidth="1"/>
    <col min="10746" max="10746" width="15.6640625" customWidth="1"/>
    <col min="10747" max="10747" width="13.83203125" bestFit="1" customWidth="1"/>
    <col min="10748" max="10748" width="26.5" customWidth="1"/>
    <col min="10749" max="10749" width="4.83203125" customWidth="1"/>
    <col min="10750" max="10750" width="168" customWidth="1"/>
    <col min="10992" max="10992" width="0.83203125" customWidth="1"/>
    <col min="10993" max="10993" width="57.83203125" customWidth="1"/>
    <col min="10994" max="10994" width="1.33203125" customWidth="1"/>
    <col min="10995" max="10995" width="10.5" bestFit="1" customWidth="1"/>
    <col min="10996" max="10996" width="11.6640625" bestFit="1" customWidth="1"/>
    <col min="10997" max="10997" width="13.83203125" bestFit="1" customWidth="1"/>
    <col min="10998" max="10998" width="10.5" bestFit="1" customWidth="1"/>
    <col min="10999" max="10999" width="13.33203125" customWidth="1"/>
    <col min="11000" max="11000" width="13.83203125" bestFit="1" customWidth="1"/>
    <col min="11001" max="11001" width="14.1640625" bestFit="1" customWidth="1"/>
    <col min="11002" max="11002" width="15.6640625" customWidth="1"/>
    <col min="11003" max="11003" width="13.83203125" bestFit="1" customWidth="1"/>
    <col min="11004" max="11004" width="26.5" customWidth="1"/>
    <col min="11005" max="11005" width="4.83203125" customWidth="1"/>
    <col min="11006" max="11006" width="168" customWidth="1"/>
    <col min="11248" max="11248" width="0.83203125" customWidth="1"/>
    <col min="11249" max="11249" width="57.83203125" customWidth="1"/>
    <col min="11250" max="11250" width="1.33203125" customWidth="1"/>
    <col min="11251" max="11251" width="10.5" bestFit="1" customWidth="1"/>
    <col min="11252" max="11252" width="11.6640625" bestFit="1" customWidth="1"/>
    <col min="11253" max="11253" width="13.83203125" bestFit="1" customWidth="1"/>
    <col min="11254" max="11254" width="10.5" bestFit="1" customWidth="1"/>
    <col min="11255" max="11255" width="13.33203125" customWidth="1"/>
    <col min="11256" max="11256" width="13.83203125" bestFit="1" customWidth="1"/>
    <col min="11257" max="11257" width="14.1640625" bestFit="1" customWidth="1"/>
    <col min="11258" max="11258" width="15.6640625" customWidth="1"/>
    <col min="11259" max="11259" width="13.83203125" bestFit="1" customWidth="1"/>
    <col min="11260" max="11260" width="26.5" customWidth="1"/>
    <col min="11261" max="11261" width="4.83203125" customWidth="1"/>
    <col min="11262" max="11262" width="168" customWidth="1"/>
    <col min="11504" max="11504" width="0.83203125" customWidth="1"/>
    <col min="11505" max="11505" width="57.83203125" customWidth="1"/>
    <col min="11506" max="11506" width="1.33203125" customWidth="1"/>
    <col min="11507" max="11507" width="10.5" bestFit="1" customWidth="1"/>
    <col min="11508" max="11508" width="11.6640625" bestFit="1" customWidth="1"/>
    <col min="11509" max="11509" width="13.83203125" bestFit="1" customWidth="1"/>
    <col min="11510" max="11510" width="10.5" bestFit="1" customWidth="1"/>
    <col min="11511" max="11511" width="13.33203125" customWidth="1"/>
    <col min="11512" max="11512" width="13.83203125" bestFit="1" customWidth="1"/>
    <col min="11513" max="11513" width="14.1640625" bestFit="1" customWidth="1"/>
    <col min="11514" max="11514" width="15.6640625" customWidth="1"/>
    <col min="11515" max="11515" width="13.83203125" bestFit="1" customWidth="1"/>
    <col min="11516" max="11516" width="26.5" customWidth="1"/>
    <col min="11517" max="11517" width="4.83203125" customWidth="1"/>
    <col min="11518" max="11518" width="168" customWidth="1"/>
    <col min="11760" max="11760" width="0.83203125" customWidth="1"/>
    <col min="11761" max="11761" width="57.83203125" customWidth="1"/>
    <col min="11762" max="11762" width="1.33203125" customWidth="1"/>
    <col min="11763" max="11763" width="10.5" bestFit="1" customWidth="1"/>
    <col min="11764" max="11764" width="11.6640625" bestFit="1" customWidth="1"/>
    <col min="11765" max="11765" width="13.83203125" bestFit="1" customWidth="1"/>
    <col min="11766" max="11766" width="10.5" bestFit="1" customWidth="1"/>
    <col min="11767" max="11767" width="13.33203125" customWidth="1"/>
    <col min="11768" max="11768" width="13.83203125" bestFit="1" customWidth="1"/>
    <col min="11769" max="11769" width="14.1640625" bestFit="1" customWidth="1"/>
    <col min="11770" max="11770" width="15.6640625" customWidth="1"/>
    <col min="11771" max="11771" width="13.83203125" bestFit="1" customWidth="1"/>
    <col min="11772" max="11772" width="26.5" customWidth="1"/>
    <col min="11773" max="11773" width="4.83203125" customWidth="1"/>
    <col min="11774" max="11774" width="168" customWidth="1"/>
    <col min="12016" max="12016" width="0.83203125" customWidth="1"/>
    <col min="12017" max="12017" width="57.83203125" customWidth="1"/>
    <col min="12018" max="12018" width="1.33203125" customWidth="1"/>
    <col min="12019" max="12019" width="10.5" bestFit="1" customWidth="1"/>
    <col min="12020" max="12020" width="11.6640625" bestFit="1" customWidth="1"/>
    <col min="12021" max="12021" width="13.83203125" bestFit="1" customWidth="1"/>
    <col min="12022" max="12022" width="10.5" bestFit="1" customWidth="1"/>
    <col min="12023" max="12023" width="13.33203125" customWidth="1"/>
    <col min="12024" max="12024" width="13.83203125" bestFit="1" customWidth="1"/>
    <col min="12025" max="12025" width="14.1640625" bestFit="1" customWidth="1"/>
    <col min="12026" max="12026" width="15.6640625" customWidth="1"/>
    <col min="12027" max="12027" width="13.83203125" bestFit="1" customWidth="1"/>
    <col min="12028" max="12028" width="26.5" customWidth="1"/>
    <col min="12029" max="12029" width="4.83203125" customWidth="1"/>
    <col min="12030" max="12030" width="168" customWidth="1"/>
    <col min="12272" max="12272" width="0.83203125" customWidth="1"/>
    <col min="12273" max="12273" width="57.83203125" customWidth="1"/>
    <col min="12274" max="12274" width="1.33203125" customWidth="1"/>
    <col min="12275" max="12275" width="10.5" bestFit="1" customWidth="1"/>
    <col min="12276" max="12276" width="11.6640625" bestFit="1" customWidth="1"/>
    <col min="12277" max="12277" width="13.83203125" bestFit="1" customWidth="1"/>
    <col min="12278" max="12278" width="10.5" bestFit="1" customWidth="1"/>
    <col min="12279" max="12279" width="13.33203125" customWidth="1"/>
    <col min="12280" max="12280" width="13.83203125" bestFit="1" customWidth="1"/>
    <col min="12281" max="12281" width="14.1640625" bestFit="1" customWidth="1"/>
    <col min="12282" max="12282" width="15.6640625" customWidth="1"/>
    <col min="12283" max="12283" width="13.83203125" bestFit="1" customWidth="1"/>
    <col min="12284" max="12284" width="26.5" customWidth="1"/>
    <col min="12285" max="12285" width="4.83203125" customWidth="1"/>
    <col min="12286" max="12286" width="168" customWidth="1"/>
    <col min="12528" max="12528" width="0.83203125" customWidth="1"/>
    <col min="12529" max="12529" width="57.83203125" customWidth="1"/>
    <col min="12530" max="12530" width="1.33203125" customWidth="1"/>
    <col min="12531" max="12531" width="10.5" bestFit="1" customWidth="1"/>
    <col min="12532" max="12532" width="11.6640625" bestFit="1" customWidth="1"/>
    <col min="12533" max="12533" width="13.83203125" bestFit="1" customWidth="1"/>
    <col min="12534" max="12534" width="10.5" bestFit="1" customWidth="1"/>
    <col min="12535" max="12535" width="13.33203125" customWidth="1"/>
    <col min="12536" max="12536" width="13.83203125" bestFit="1" customWidth="1"/>
    <col min="12537" max="12537" width="14.1640625" bestFit="1" customWidth="1"/>
    <col min="12538" max="12538" width="15.6640625" customWidth="1"/>
    <col min="12539" max="12539" width="13.83203125" bestFit="1" customWidth="1"/>
    <col min="12540" max="12540" width="26.5" customWidth="1"/>
    <col min="12541" max="12541" width="4.83203125" customWidth="1"/>
    <col min="12542" max="12542" width="168" customWidth="1"/>
    <col min="12784" max="12784" width="0.83203125" customWidth="1"/>
    <col min="12785" max="12785" width="57.83203125" customWidth="1"/>
    <col min="12786" max="12786" width="1.33203125" customWidth="1"/>
    <col min="12787" max="12787" width="10.5" bestFit="1" customWidth="1"/>
    <col min="12788" max="12788" width="11.6640625" bestFit="1" customWidth="1"/>
    <col min="12789" max="12789" width="13.83203125" bestFit="1" customWidth="1"/>
    <col min="12790" max="12790" width="10.5" bestFit="1" customWidth="1"/>
    <col min="12791" max="12791" width="13.33203125" customWidth="1"/>
    <col min="12792" max="12792" width="13.83203125" bestFit="1" customWidth="1"/>
    <col min="12793" max="12793" width="14.1640625" bestFit="1" customWidth="1"/>
    <col min="12794" max="12794" width="15.6640625" customWidth="1"/>
    <col min="12795" max="12795" width="13.83203125" bestFit="1" customWidth="1"/>
    <col min="12796" max="12796" width="26.5" customWidth="1"/>
    <col min="12797" max="12797" width="4.83203125" customWidth="1"/>
    <col min="12798" max="12798" width="168" customWidth="1"/>
    <col min="13040" max="13040" width="0.83203125" customWidth="1"/>
    <col min="13041" max="13041" width="57.83203125" customWidth="1"/>
    <col min="13042" max="13042" width="1.33203125" customWidth="1"/>
    <col min="13043" max="13043" width="10.5" bestFit="1" customWidth="1"/>
    <col min="13044" max="13044" width="11.6640625" bestFit="1" customWidth="1"/>
    <col min="13045" max="13045" width="13.83203125" bestFit="1" customWidth="1"/>
    <col min="13046" max="13046" width="10.5" bestFit="1" customWidth="1"/>
    <col min="13047" max="13047" width="13.33203125" customWidth="1"/>
    <col min="13048" max="13048" width="13.83203125" bestFit="1" customWidth="1"/>
    <col min="13049" max="13049" width="14.1640625" bestFit="1" customWidth="1"/>
    <col min="13050" max="13050" width="15.6640625" customWidth="1"/>
    <col min="13051" max="13051" width="13.83203125" bestFit="1" customWidth="1"/>
    <col min="13052" max="13052" width="26.5" customWidth="1"/>
    <col min="13053" max="13053" width="4.83203125" customWidth="1"/>
    <col min="13054" max="13054" width="168" customWidth="1"/>
    <col min="13296" max="13296" width="0.83203125" customWidth="1"/>
    <col min="13297" max="13297" width="57.83203125" customWidth="1"/>
    <col min="13298" max="13298" width="1.33203125" customWidth="1"/>
    <col min="13299" max="13299" width="10.5" bestFit="1" customWidth="1"/>
    <col min="13300" max="13300" width="11.6640625" bestFit="1" customWidth="1"/>
    <col min="13301" max="13301" width="13.83203125" bestFit="1" customWidth="1"/>
    <col min="13302" max="13302" width="10.5" bestFit="1" customWidth="1"/>
    <col min="13303" max="13303" width="13.33203125" customWidth="1"/>
    <col min="13304" max="13304" width="13.83203125" bestFit="1" customWidth="1"/>
    <col min="13305" max="13305" width="14.1640625" bestFit="1" customWidth="1"/>
    <col min="13306" max="13306" width="15.6640625" customWidth="1"/>
    <col min="13307" max="13307" width="13.83203125" bestFit="1" customWidth="1"/>
    <col min="13308" max="13308" width="26.5" customWidth="1"/>
    <col min="13309" max="13309" width="4.83203125" customWidth="1"/>
    <col min="13310" max="13310" width="168" customWidth="1"/>
    <col min="13552" max="13552" width="0.83203125" customWidth="1"/>
    <col min="13553" max="13553" width="57.83203125" customWidth="1"/>
    <col min="13554" max="13554" width="1.33203125" customWidth="1"/>
    <col min="13555" max="13555" width="10.5" bestFit="1" customWidth="1"/>
    <col min="13556" max="13556" width="11.6640625" bestFit="1" customWidth="1"/>
    <col min="13557" max="13557" width="13.83203125" bestFit="1" customWidth="1"/>
    <col min="13558" max="13558" width="10.5" bestFit="1" customWidth="1"/>
    <col min="13559" max="13559" width="13.33203125" customWidth="1"/>
    <col min="13560" max="13560" width="13.83203125" bestFit="1" customWidth="1"/>
    <col min="13561" max="13561" width="14.1640625" bestFit="1" customWidth="1"/>
    <col min="13562" max="13562" width="15.6640625" customWidth="1"/>
    <col min="13563" max="13563" width="13.83203125" bestFit="1" customWidth="1"/>
    <col min="13564" max="13564" width="26.5" customWidth="1"/>
    <col min="13565" max="13565" width="4.83203125" customWidth="1"/>
    <col min="13566" max="13566" width="168" customWidth="1"/>
    <col min="13808" max="13808" width="0.83203125" customWidth="1"/>
    <col min="13809" max="13809" width="57.83203125" customWidth="1"/>
    <col min="13810" max="13810" width="1.33203125" customWidth="1"/>
    <col min="13811" max="13811" width="10.5" bestFit="1" customWidth="1"/>
    <col min="13812" max="13812" width="11.6640625" bestFit="1" customWidth="1"/>
    <col min="13813" max="13813" width="13.83203125" bestFit="1" customWidth="1"/>
    <col min="13814" max="13814" width="10.5" bestFit="1" customWidth="1"/>
    <col min="13815" max="13815" width="13.33203125" customWidth="1"/>
    <col min="13816" max="13816" width="13.83203125" bestFit="1" customWidth="1"/>
    <col min="13817" max="13817" width="14.1640625" bestFit="1" customWidth="1"/>
    <col min="13818" max="13818" width="15.6640625" customWidth="1"/>
    <col min="13819" max="13819" width="13.83203125" bestFit="1" customWidth="1"/>
    <col min="13820" max="13820" width="26.5" customWidth="1"/>
    <col min="13821" max="13821" width="4.83203125" customWidth="1"/>
    <col min="13822" max="13822" width="168" customWidth="1"/>
    <col min="14064" max="14064" width="0.83203125" customWidth="1"/>
    <col min="14065" max="14065" width="57.83203125" customWidth="1"/>
    <col min="14066" max="14066" width="1.33203125" customWidth="1"/>
    <col min="14067" max="14067" width="10.5" bestFit="1" customWidth="1"/>
    <col min="14068" max="14068" width="11.6640625" bestFit="1" customWidth="1"/>
    <col min="14069" max="14069" width="13.83203125" bestFit="1" customWidth="1"/>
    <col min="14070" max="14070" width="10.5" bestFit="1" customWidth="1"/>
    <col min="14071" max="14071" width="13.33203125" customWidth="1"/>
    <col min="14072" max="14072" width="13.83203125" bestFit="1" customWidth="1"/>
    <col min="14073" max="14073" width="14.1640625" bestFit="1" customWidth="1"/>
    <col min="14074" max="14074" width="15.6640625" customWidth="1"/>
    <col min="14075" max="14075" width="13.83203125" bestFit="1" customWidth="1"/>
    <col min="14076" max="14076" width="26.5" customWidth="1"/>
    <col min="14077" max="14077" width="4.83203125" customWidth="1"/>
    <col min="14078" max="14078" width="168" customWidth="1"/>
    <col min="14320" max="14320" width="0.83203125" customWidth="1"/>
    <col min="14321" max="14321" width="57.83203125" customWidth="1"/>
    <col min="14322" max="14322" width="1.33203125" customWidth="1"/>
    <col min="14323" max="14323" width="10.5" bestFit="1" customWidth="1"/>
    <col min="14324" max="14324" width="11.6640625" bestFit="1" customWidth="1"/>
    <col min="14325" max="14325" width="13.83203125" bestFit="1" customWidth="1"/>
    <col min="14326" max="14326" width="10.5" bestFit="1" customWidth="1"/>
    <col min="14327" max="14327" width="13.33203125" customWidth="1"/>
    <col min="14328" max="14328" width="13.83203125" bestFit="1" customWidth="1"/>
    <col min="14329" max="14329" width="14.1640625" bestFit="1" customWidth="1"/>
    <col min="14330" max="14330" width="15.6640625" customWidth="1"/>
    <col min="14331" max="14331" width="13.83203125" bestFit="1" customWidth="1"/>
    <col min="14332" max="14332" width="26.5" customWidth="1"/>
    <col min="14333" max="14333" width="4.83203125" customWidth="1"/>
    <col min="14334" max="14334" width="168" customWidth="1"/>
    <col min="14576" max="14576" width="0.83203125" customWidth="1"/>
    <col min="14577" max="14577" width="57.83203125" customWidth="1"/>
    <col min="14578" max="14578" width="1.33203125" customWidth="1"/>
    <col min="14579" max="14579" width="10.5" bestFit="1" customWidth="1"/>
    <col min="14580" max="14580" width="11.6640625" bestFit="1" customWidth="1"/>
    <col min="14581" max="14581" width="13.83203125" bestFit="1" customWidth="1"/>
    <col min="14582" max="14582" width="10.5" bestFit="1" customWidth="1"/>
    <col min="14583" max="14583" width="13.33203125" customWidth="1"/>
    <col min="14584" max="14584" width="13.83203125" bestFit="1" customWidth="1"/>
    <col min="14585" max="14585" width="14.1640625" bestFit="1" customWidth="1"/>
    <col min="14586" max="14586" width="15.6640625" customWidth="1"/>
    <col min="14587" max="14587" width="13.83203125" bestFit="1" customWidth="1"/>
    <col min="14588" max="14588" width="26.5" customWidth="1"/>
    <col min="14589" max="14589" width="4.83203125" customWidth="1"/>
    <col min="14590" max="14590" width="168" customWidth="1"/>
    <col min="14832" max="14832" width="0.83203125" customWidth="1"/>
    <col min="14833" max="14833" width="57.83203125" customWidth="1"/>
    <col min="14834" max="14834" width="1.33203125" customWidth="1"/>
    <col min="14835" max="14835" width="10.5" bestFit="1" customWidth="1"/>
    <col min="14836" max="14836" width="11.6640625" bestFit="1" customWidth="1"/>
    <col min="14837" max="14837" width="13.83203125" bestFit="1" customWidth="1"/>
    <col min="14838" max="14838" width="10.5" bestFit="1" customWidth="1"/>
    <col min="14839" max="14839" width="13.33203125" customWidth="1"/>
    <col min="14840" max="14840" width="13.83203125" bestFit="1" customWidth="1"/>
    <col min="14841" max="14841" width="14.1640625" bestFit="1" customWidth="1"/>
    <col min="14842" max="14842" width="15.6640625" customWidth="1"/>
    <col min="14843" max="14843" width="13.83203125" bestFit="1" customWidth="1"/>
    <col min="14844" max="14844" width="26.5" customWidth="1"/>
    <col min="14845" max="14845" width="4.83203125" customWidth="1"/>
    <col min="14846" max="14846" width="168" customWidth="1"/>
    <col min="15088" max="15088" width="0.83203125" customWidth="1"/>
    <col min="15089" max="15089" width="57.83203125" customWidth="1"/>
    <col min="15090" max="15090" width="1.33203125" customWidth="1"/>
    <col min="15091" max="15091" width="10.5" bestFit="1" customWidth="1"/>
    <col min="15092" max="15092" width="11.6640625" bestFit="1" customWidth="1"/>
    <col min="15093" max="15093" width="13.83203125" bestFit="1" customWidth="1"/>
    <col min="15094" max="15094" width="10.5" bestFit="1" customWidth="1"/>
    <col min="15095" max="15095" width="13.33203125" customWidth="1"/>
    <col min="15096" max="15096" width="13.83203125" bestFit="1" customWidth="1"/>
    <col min="15097" max="15097" width="14.1640625" bestFit="1" customWidth="1"/>
    <col min="15098" max="15098" width="15.6640625" customWidth="1"/>
    <col min="15099" max="15099" width="13.83203125" bestFit="1" customWidth="1"/>
    <col min="15100" max="15100" width="26.5" customWidth="1"/>
    <col min="15101" max="15101" width="4.83203125" customWidth="1"/>
    <col min="15102" max="15102" width="168" customWidth="1"/>
    <col min="15344" max="15344" width="0.83203125" customWidth="1"/>
    <col min="15345" max="15345" width="57.83203125" customWidth="1"/>
    <col min="15346" max="15346" width="1.33203125" customWidth="1"/>
    <col min="15347" max="15347" width="10.5" bestFit="1" customWidth="1"/>
    <col min="15348" max="15348" width="11.6640625" bestFit="1" customWidth="1"/>
    <col min="15349" max="15349" width="13.83203125" bestFit="1" customWidth="1"/>
    <col min="15350" max="15350" width="10.5" bestFit="1" customWidth="1"/>
    <col min="15351" max="15351" width="13.33203125" customWidth="1"/>
    <col min="15352" max="15352" width="13.83203125" bestFit="1" customWidth="1"/>
    <col min="15353" max="15353" width="14.1640625" bestFit="1" customWidth="1"/>
    <col min="15354" max="15354" width="15.6640625" customWidth="1"/>
    <col min="15355" max="15355" width="13.83203125" bestFit="1" customWidth="1"/>
    <col min="15356" max="15356" width="26.5" customWidth="1"/>
    <col min="15357" max="15357" width="4.83203125" customWidth="1"/>
    <col min="15358" max="15358" width="168" customWidth="1"/>
    <col min="15600" max="15600" width="0.83203125" customWidth="1"/>
    <col min="15601" max="15601" width="57.83203125" customWidth="1"/>
    <col min="15602" max="15602" width="1.33203125" customWidth="1"/>
    <col min="15603" max="15603" width="10.5" bestFit="1" customWidth="1"/>
    <col min="15604" max="15604" width="11.6640625" bestFit="1" customWidth="1"/>
    <col min="15605" max="15605" width="13.83203125" bestFit="1" customWidth="1"/>
    <col min="15606" max="15606" width="10.5" bestFit="1" customWidth="1"/>
    <col min="15607" max="15607" width="13.33203125" customWidth="1"/>
    <col min="15608" max="15608" width="13.83203125" bestFit="1" customWidth="1"/>
    <col min="15609" max="15609" width="14.1640625" bestFit="1" customWidth="1"/>
    <col min="15610" max="15610" width="15.6640625" customWidth="1"/>
    <col min="15611" max="15611" width="13.83203125" bestFit="1" customWidth="1"/>
    <col min="15612" max="15612" width="26.5" customWidth="1"/>
    <col min="15613" max="15613" width="4.83203125" customWidth="1"/>
    <col min="15614" max="15614" width="168" customWidth="1"/>
    <col min="15856" max="15856" width="0.83203125" customWidth="1"/>
    <col min="15857" max="15857" width="57.83203125" customWidth="1"/>
    <col min="15858" max="15858" width="1.33203125" customWidth="1"/>
    <col min="15859" max="15859" width="10.5" bestFit="1" customWidth="1"/>
    <col min="15860" max="15860" width="11.6640625" bestFit="1" customWidth="1"/>
    <col min="15861" max="15861" width="13.83203125" bestFit="1" customWidth="1"/>
    <col min="15862" max="15862" width="10.5" bestFit="1" customWidth="1"/>
    <col min="15863" max="15863" width="13.33203125" customWidth="1"/>
    <col min="15864" max="15864" width="13.83203125" bestFit="1" customWidth="1"/>
    <col min="15865" max="15865" width="14.1640625" bestFit="1" customWidth="1"/>
    <col min="15866" max="15866" width="15.6640625" customWidth="1"/>
    <col min="15867" max="15867" width="13.83203125" bestFit="1" customWidth="1"/>
    <col min="15868" max="15868" width="26.5" customWidth="1"/>
    <col min="15869" max="15869" width="4.83203125" customWidth="1"/>
    <col min="15870" max="15870" width="168" customWidth="1"/>
    <col min="16112" max="16112" width="0.83203125" customWidth="1"/>
    <col min="16113" max="16113" width="57.83203125" customWidth="1"/>
    <col min="16114" max="16114" width="1.33203125" customWidth="1"/>
    <col min="16115" max="16115" width="10.5" bestFit="1" customWidth="1"/>
    <col min="16116" max="16116" width="11.6640625" bestFit="1" customWidth="1"/>
    <col min="16117" max="16117" width="13.83203125" bestFit="1" customWidth="1"/>
    <col min="16118" max="16118" width="10.5" bestFit="1" customWidth="1"/>
    <col min="16119" max="16119" width="13.33203125" customWidth="1"/>
    <col min="16120" max="16120" width="13.83203125" bestFit="1" customWidth="1"/>
    <col min="16121" max="16121" width="14.1640625" bestFit="1" customWidth="1"/>
    <col min="16122" max="16122" width="15.6640625" customWidth="1"/>
    <col min="16123" max="16123" width="13.83203125" bestFit="1" customWidth="1"/>
    <col min="16124" max="16124" width="26.5" customWidth="1"/>
    <col min="16125" max="16125" width="4.83203125" customWidth="1"/>
    <col min="16126" max="16126" width="168" customWidth="1"/>
  </cols>
  <sheetData>
    <row r="1" spans="2:6" ht="17.25" customHeight="1">
      <c r="B1" s="51" t="s">
        <v>218</v>
      </c>
      <c r="C1" s="35"/>
      <c r="D1" s="36"/>
      <c r="E1" s="7"/>
      <c r="F1" s="7"/>
    </row>
    <row r="2" spans="2:6" ht="16.5" customHeight="1" thickBot="1">
      <c r="B2" s="52" t="s">
        <v>90</v>
      </c>
      <c r="C2" s="53">
        <v>8.2050000000000001</v>
      </c>
      <c r="D2" s="53">
        <v>8.6199999999999992</v>
      </c>
      <c r="E2" s="7" t="s">
        <v>211</v>
      </c>
      <c r="F2" s="7"/>
    </row>
    <row r="3" spans="2:6" ht="17" thickBot="1">
      <c r="B3" s="260" t="s">
        <v>53</v>
      </c>
      <c r="C3" s="261">
        <v>43100</v>
      </c>
      <c r="D3" s="271">
        <v>42735</v>
      </c>
      <c r="E3" s="7"/>
      <c r="F3" s="7"/>
    </row>
    <row r="4" spans="2:6" ht="21" customHeight="1">
      <c r="B4" s="45" t="s">
        <v>56</v>
      </c>
      <c r="C4" s="46"/>
      <c r="D4" s="272"/>
      <c r="E4" s="7"/>
      <c r="F4" s="7"/>
    </row>
    <row r="5" spans="2:6" ht="18.75" customHeight="1">
      <c r="B5" s="47" t="s">
        <v>54</v>
      </c>
      <c r="C5" s="44">
        <v>32</v>
      </c>
      <c r="D5" s="273">
        <v>5.8480278422273786</v>
      </c>
      <c r="E5" s="7"/>
      <c r="F5" s="7"/>
    </row>
    <row r="6" spans="2:6" ht="21" customHeight="1">
      <c r="B6" s="45" t="s">
        <v>55</v>
      </c>
      <c r="C6" s="44">
        <v>32</v>
      </c>
      <c r="D6" s="273">
        <v>5.8480278422273786</v>
      </c>
      <c r="E6" s="7"/>
      <c r="F6" s="7"/>
    </row>
    <row r="7" spans="2:6" ht="21" customHeight="1">
      <c r="B7" s="48" t="s">
        <v>93</v>
      </c>
      <c r="C7" s="44">
        <v>366</v>
      </c>
      <c r="D7" s="273">
        <v>108.6109048723898</v>
      </c>
      <c r="E7" s="7"/>
      <c r="F7" s="7"/>
    </row>
    <row r="8" spans="2:6" s="4" customFormat="1" ht="21" customHeight="1">
      <c r="B8" s="48" t="s">
        <v>94</v>
      </c>
      <c r="C8" s="44">
        <v>24</v>
      </c>
      <c r="D8" s="273">
        <v>36.248607888631092</v>
      </c>
      <c r="E8" s="7"/>
      <c r="F8" s="9"/>
    </row>
    <row r="9" spans="2:6" s="4" customFormat="1" ht="21" customHeight="1">
      <c r="B9" s="45" t="s">
        <v>57</v>
      </c>
      <c r="C9" s="44">
        <v>390</v>
      </c>
      <c r="D9" s="273">
        <v>144.85951276102088</v>
      </c>
      <c r="E9" s="7"/>
      <c r="F9" s="9"/>
    </row>
    <row r="10" spans="2:6" s="4" customFormat="1" ht="21" customHeight="1">
      <c r="B10" s="45" t="s">
        <v>60</v>
      </c>
      <c r="C10" s="44">
        <v>3197</v>
      </c>
      <c r="D10" s="273">
        <v>2056.0352668213459</v>
      </c>
      <c r="E10" s="7"/>
      <c r="F10" s="9"/>
    </row>
    <row r="11" spans="2:6" s="4" customFormat="1" ht="3.75" customHeight="1">
      <c r="B11" s="45"/>
      <c r="C11" s="44"/>
      <c r="D11" s="273"/>
      <c r="E11" s="7"/>
      <c r="F11" s="9"/>
    </row>
    <row r="12" spans="2:6" s="4" customFormat="1" ht="21" customHeight="1">
      <c r="B12" s="45" t="s">
        <v>58</v>
      </c>
      <c r="C12" s="44">
        <v>3587</v>
      </c>
      <c r="D12" s="273">
        <v>2200.8947795823669</v>
      </c>
      <c r="E12" s="7"/>
      <c r="F12" s="9"/>
    </row>
    <row r="13" spans="2:6" s="4" customFormat="1" ht="3.75" customHeight="1">
      <c r="B13" s="48" t="s">
        <v>2</v>
      </c>
      <c r="C13" s="46">
        <v>2200.8947795823669</v>
      </c>
      <c r="D13" s="274">
        <v>2200.8947795823669</v>
      </c>
      <c r="E13" s="7"/>
      <c r="F13" s="9"/>
    </row>
    <row r="14" spans="2:6" s="4" customFormat="1" ht="18" customHeight="1">
      <c r="B14" s="262" t="s">
        <v>59</v>
      </c>
      <c r="C14" s="263">
        <f>+C12+C6</f>
        <v>3619</v>
      </c>
      <c r="D14" s="275">
        <v>2206.7428074245945</v>
      </c>
      <c r="E14" s="7"/>
      <c r="F14" s="9"/>
    </row>
    <row r="15" spans="2:6" s="5" customFormat="1" ht="21" customHeight="1">
      <c r="B15" s="45" t="s">
        <v>61</v>
      </c>
      <c r="C15" s="49"/>
      <c r="D15" s="276"/>
      <c r="E15" s="7"/>
      <c r="F15" s="10"/>
    </row>
    <row r="16" spans="2:6" s="5" customFormat="1" ht="21" customHeight="1">
      <c r="B16" s="47" t="s">
        <v>4</v>
      </c>
      <c r="C16" s="44">
        <v>566</v>
      </c>
      <c r="D16" s="273">
        <v>287</v>
      </c>
      <c r="E16" s="7"/>
      <c r="F16" s="10"/>
    </row>
    <row r="17" spans="1:6" s="5" customFormat="1" ht="21" customHeight="1">
      <c r="B17" s="47" t="s">
        <v>65</v>
      </c>
      <c r="C17" s="44">
        <v>1196</v>
      </c>
      <c r="D17" s="277">
        <v>280.09377500000028</v>
      </c>
      <c r="E17" s="7"/>
      <c r="F17" s="10"/>
    </row>
    <row r="18" spans="1:6" s="5" customFormat="1" ht="21" customHeight="1">
      <c r="B18" s="47" t="s">
        <v>66</v>
      </c>
      <c r="C18" s="44">
        <v>37</v>
      </c>
      <c r="D18" s="277">
        <v>-1</v>
      </c>
      <c r="E18" s="7"/>
      <c r="F18" s="10"/>
    </row>
    <row r="19" spans="1:6" s="5" customFormat="1" ht="21" customHeight="1">
      <c r="B19" s="45" t="s">
        <v>62</v>
      </c>
      <c r="C19" s="44">
        <v>1799</v>
      </c>
      <c r="D19" s="273">
        <v>566.09377500000028</v>
      </c>
      <c r="E19" s="7"/>
      <c r="F19" s="10"/>
    </row>
    <row r="20" spans="1:6" s="5" customFormat="1" ht="21" customHeight="1">
      <c r="B20" s="47" t="s">
        <v>95</v>
      </c>
      <c r="C20" s="44">
        <v>0</v>
      </c>
      <c r="D20" s="273">
        <v>-13.736890951276102</v>
      </c>
      <c r="E20" s="7"/>
      <c r="F20" s="10"/>
    </row>
    <row r="21" spans="1:6" s="5" customFormat="1" ht="21" customHeight="1">
      <c r="B21" s="48" t="s">
        <v>5</v>
      </c>
      <c r="C21" s="44">
        <v>219</v>
      </c>
      <c r="D21" s="273">
        <v>215.28909512761021</v>
      </c>
      <c r="E21" s="7"/>
      <c r="F21" s="10"/>
    </row>
    <row r="22" spans="1:6" s="5" customFormat="1" ht="21" customHeight="1">
      <c r="B22" s="47" t="s">
        <v>67</v>
      </c>
      <c r="C22" s="44">
        <v>1601</v>
      </c>
      <c r="D22" s="273">
        <v>1439.098607888631</v>
      </c>
      <c r="E22" s="7"/>
      <c r="F22" s="10"/>
    </row>
    <row r="23" spans="1:6" s="5" customFormat="1" ht="21" customHeight="1">
      <c r="B23" s="45" t="s">
        <v>63</v>
      </c>
      <c r="C23" s="44">
        <v>1820</v>
      </c>
      <c r="D23" s="273">
        <v>1640.6508120649651</v>
      </c>
      <c r="E23" s="7"/>
      <c r="F23" s="10"/>
    </row>
    <row r="24" spans="1:6" s="5" customFormat="1" ht="4.5" customHeight="1">
      <c r="B24" s="47"/>
      <c r="C24" s="50" t="s">
        <v>2</v>
      </c>
      <c r="D24" s="278" t="s">
        <v>2</v>
      </c>
      <c r="E24" s="7"/>
      <c r="F24" s="10"/>
    </row>
    <row r="25" spans="1:6" ht="16.5" customHeight="1">
      <c r="B25" s="264" t="s">
        <v>64</v>
      </c>
      <c r="C25" s="263">
        <f>+C23+C19</f>
        <v>3619</v>
      </c>
      <c r="D25" s="275">
        <v>2206.7445870649653</v>
      </c>
      <c r="E25" s="7"/>
      <c r="F25" s="7"/>
    </row>
    <row r="26" spans="1:6" s="2" customFormat="1" ht="21" customHeight="1">
      <c r="A26" s="34"/>
      <c r="B26" s="36"/>
      <c r="C26" s="38"/>
      <c r="D26" s="38"/>
      <c r="E26" s="34"/>
      <c r="F26" s="34"/>
    </row>
    <row r="27" spans="1:6" s="3" customFormat="1" ht="13">
      <c r="A27" s="37"/>
      <c r="B27" s="37"/>
      <c r="C27" s="37"/>
      <c r="D27" s="37"/>
      <c r="E27" s="37"/>
      <c r="F27" s="37"/>
    </row>
    <row r="28" spans="1:6" s="3" customFormat="1" ht="13">
      <c r="A28" s="37"/>
      <c r="B28" s="37"/>
      <c r="C28" s="37"/>
      <c r="D28" s="37"/>
      <c r="E28" s="37"/>
      <c r="F28" s="37"/>
    </row>
    <row r="29" spans="1:6" s="3" customFormat="1" ht="13">
      <c r="A29" s="37"/>
      <c r="B29" s="37"/>
      <c r="C29" s="37"/>
      <c r="D29" s="37"/>
      <c r="E29" s="37"/>
      <c r="F29" s="37"/>
    </row>
    <row r="30" spans="1:6" s="3" customFormat="1" ht="13">
      <c r="A30" s="37"/>
      <c r="B30" s="37"/>
      <c r="C30" s="37"/>
      <c r="D30" s="37"/>
      <c r="E30" s="37"/>
      <c r="F30" s="37"/>
    </row>
    <row r="31" spans="1:6" s="3" customFormat="1" ht="13">
      <c r="A31" s="37"/>
      <c r="B31" s="37"/>
      <c r="C31" s="37"/>
      <c r="D31" s="37"/>
      <c r="E31" s="37"/>
      <c r="F31" s="37"/>
    </row>
    <row r="32" spans="1:6" s="3" customFormat="1" ht="13">
      <c r="A32" s="37"/>
      <c r="B32" s="37"/>
      <c r="C32" s="37"/>
      <c r="D32" s="37"/>
      <c r="E32" s="37"/>
      <c r="F32" s="37"/>
    </row>
    <row r="33" spans="1:6" s="3" customFormat="1" ht="13">
      <c r="A33" s="37"/>
      <c r="B33" s="37"/>
      <c r="C33" s="37"/>
      <c r="D33" s="37"/>
      <c r="E33" s="37"/>
      <c r="F33" s="37"/>
    </row>
    <row r="34" spans="1:6" s="3" customFormat="1" ht="13">
      <c r="A34" s="37"/>
      <c r="B34" s="37"/>
      <c r="C34" s="37"/>
      <c r="D34" s="37"/>
      <c r="E34" s="37"/>
      <c r="F34" s="37"/>
    </row>
    <row r="35" spans="1:6" s="3" customFormat="1" ht="13">
      <c r="A35" s="37"/>
      <c r="B35" s="37"/>
      <c r="C35" s="37"/>
      <c r="D35" s="37"/>
      <c r="E35" s="37"/>
      <c r="F35" s="37"/>
    </row>
    <row r="36" spans="1:6">
      <c r="A36" s="7"/>
      <c r="B36" s="7"/>
      <c r="C36" s="37"/>
      <c r="D36" s="7"/>
      <c r="E36" s="7"/>
      <c r="F36" s="7"/>
    </row>
    <row r="37" spans="1:6">
      <c r="A37" s="7"/>
      <c r="B37" s="7"/>
      <c r="C37" s="37"/>
      <c r="D37" s="7"/>
      <c r="E37" s="7"/>
      <c r="F37" s="7"/>
    </row>
    <row r="38" spans="1:6">
      <c r="A38" s="7"/>
      <c r="B38" s="7"/>
      <c r="C38" s="37"/>
      <c r="D38" s="7"/>
      <c r="E38" s="7"/>
      <c r="F38" s="7"/>
    </row>
    <row r="39" spans="1:6">
      <c r="A39" s="7"/>
      <c r="B39" s="7"/>
      <c r="C39" s="37"/>
      <c r="D39" s="7"/>
      <c r="E39" s="7"/>
      <c r="F39" s="7"/>
    </row>
    <row r="40" spans="1:6">
      <c r="A40" s="7"/>
      <c r="B40" s="7"/>
      <c r="C40" s="37"/>
      <c r="D40" s="7"/>
      <c r="E40" s="7"/>
      <c r="F40" s="7"/>
    </row>
    <row r="41" spans="1:6">
      <c r="A41" s="7"/>
      <c r="B41" s="7"/>
      <c r="C41" s="37"/>
      <c r="D41" s="7"/>
      <c r="E41" s="7"/>
      <c r="F41" s="7"/>
    </row>
    <row r="42" spans="1:6">
      <c r="A42" s="7"/>
      <c r="B42" s="7"/>
      <c r="C42" s="37"/>
      <c r="D42" s="7"/>
    </row>
    <row r="43" spans="1:6">
      <c r="A43" s="7"/>
      <c r="B43" s="7"/>
      <c r="C43" s="37"/>
      <c r="D43" s="7"/>
    </row>
    <row r="44" spans="1:6">
      <c r="A44" s="7"/>
      <c r="B44" s="7"/>
      <c r="C44" s="37"/>
      <c r="D44" s="7"/>
    </row>
    <row r="45" spans="1:6">
      <c r="A45" s="7"/>
      <c r="B45" s="7"/>
      <c r="C45" s="37"/>
      <c r="D45" s="7"/>
    </row>
    <row r="46" spans="1:6">
      <c r="A46" s="7"/>
      <c r="B46" s="7"/>
      <c r="C46" s="37"/>
      <c r="D46" s="7"/>
    </row>
    <row r="47" spans="1:6">
      <c r="A47" s="7"/>
      <c r="B47" s="7"/>
      <c r="C47" s="37"/>
      <c r="D47" s="7"/>
    </row>
    <row r="48" spans="1:6">
      <c r="A48" s="7"/>
      <c r="B48" s="7"/>
      <c r="C48" s="37"/>
      <c r="D48" s="7"/>
    </row>
    <row r="49" spans="1:4">
      <c r="A49" s="7"/>
      <c r="B49" s="7"/>
      <c r="C49" s="37"/>
      <c r="D49" s="7"/>
    </row>
    <row r="50" spans="1:4">
      <c r="A50" s="7"/>
      <c r="B50" s="7"/>
      <c r="C50" s="37"/>
      <c r="D50" s="7"/>
    </row>
    <row r="51" spans="1:4">
      <c r="A51" s="7"/>
      <c r="B51" s="7"/>
      <c r="C51" s="37"/>
      <c r="D51" s="7"/>
    </row>
    <row r="52" spans="1:4">
      <c r="A52" s="7"/>
      <c r="B52" s="7"/>
      <c r="C52" s="37"/>
      <c r="D52" s="7"/>
    </row>
    <row r="53" spans="1:4">
      <c r="A53" s="7"/>
      <c r="B53" s="7"/>
      <c r="C53" s="37"/>
      <c r="D53" s="7"/>
    </row>
    <row r="54" spans="1:4">
      <c r="A54" s="7"/>
      <c r="B54" s="7"/>
      <c r="C54" s="37"/>
      <c r="D54" s="7"/>
    </row>
    <row r="55" spans="1:4">
      <c r="A55" s="7"/>
      <c r="B55" s="7"/>
      <c r="C55" s="37"/>
      <c r="D55" s="7"/>
    </row>
    <row r="56" spans="1:4">
      <c r="A56" s="7"/>
      <c r="B56" s="7"/>
      <c r="C56" s="37"/>
      <c r="D56" s="7"/>
    </row>
    <row r="57" spans="1:4">
      <c r="A57" s="7"/>
      <c r="B57" s="7"/>
      <c r="C57" s="37"/>
      <c r="D57" s="7"/>
    </row>
    <row r="58" spans="1:4">
      <c r="A58" s="7"/>
      <c r="B58" s="7"/>
      <c r="C58" s="37"/>
      <c r="D58" s="7"/>
    </row>
    <row r="59" spans="1:4">
      <c r="A59" s="7"/>
      <c r="B59" s="7"/>
      <c r="C59" s="37"/>
      <c r="D59" s="7"/>
    </row>
    <row r="60" spans="1:4">
      <c r="A60" s="7"/>
      <c r="B60" s="7"/>
      <c r="C60" s="37"/>
      <c r="D60" s="7"/>
    </row>
    <row r="61" spans="1:4">
      <c r="A61" s="7"/>
      <c r="B61" s="7"/>
      <c r="C61" s="37"/>
      <c r="D61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S48"/>
  <sheetViews>
    <sheetView showGridLines="0" topLeftCell="A15" zoomScale="70" zoomScaleNormal="70" zoomScalePageLayoutView="70" workbookViewId="0">
      <selection activeCell="L26" sqref="L26"/>
    </sheetView>
  </sheetViews>
  <sheetFormatPr baseColWidth="10" defaultColWidth="8.83203125" defaultRowHeight="15"/>
  <cols>
    <col min="1" max="1" width="0.83203125" customWidth="1"/>
    <col min="2" max="2" width="62.5" style="1" customWidth="1"/>
    <col min="3" max="3" width="1.33203125" customWidth="1"/>
    <col min="4" max="4" width="15" style="3" customWidth="1"/>
    <col min="5" max="5" width="13" style="3" customWidth="1"/>
    <col min="6" max="6" width="13.83203125" style="3" customWidth="1"/>
    <col min="7" max="7" width="10.5" style="3" hidden="1" customWidth="1"/>
    <col min="8" max="8" width="19.1640625" style="12" hidden="1" customWidth="1"/>
    <col min="9" max="9" width="13.83203125" hidden="1" customWidth="1"/>
    <col min="10" max="10" width="10.5" hidden="1" customWidth="1"/>
    <col min="11" max="11" width="10.5" style="56" hidden="1" customWidth="1"/>
    <col min="12" max="12" width="16" customWidth="1"/>
    <col min="13" max="13" width="15.6640625" customWidth="1"/>
    <col min="14" max="14" width="14.5" customWidth="1"/>
    <col min="15" max="15" width="168" customWidth="1"/>
    <col min="16" max="16" width="10.33203125" bestFit="1" customWidth="1"/>
    <col min="257" max="257" width="0.83203125" customWidth="1"/>
    <col min="258" max="258" width="57.83203125" customWidth="1"/>
    <col min="259" max="259" width="1.33203125" customWidth="1"/>
    <col min="260" max="260" width="10.5" bestFit="1" customWidth="1"/>
    <col min="261" max="261" width="11.6640625" bestFit="1" customWidth="1"/>
    <col min="262" max="262" width="13.83203125" bestFit="1" customWidth="1"/>
    <col min="263" max="263" width="10.5" bestFit="1" customWidth="1"/>
    <col min="264" max="264" width="13.33203125" customWidth="1"/>
    <col min="265" max="265" width="13.83203125" bestFit="1" customWidth="1"/>
    <col min="266" max="266" width="14.1640625" bestFit="1" customWidth="1"/>
    <col min="267" max="267" width="15.6640625" customWidth="1"/>
    <col min="268" max="268" width="13.83203125" bestFit="1" customWidth="1"/>
    <col min="269" max="269" width="26.5" customWidth="1"/>
    <col min="270" max="270" width="4.83203125" customWidth="1"/>
    <col min="271" max="271" width="168" customWidth="1"/>
    <col min="513" max="513" width="0.83203125" customWidth="1"/>
    <col min="514" max="514" width="57.83203125" customWidth="1"/>
    <col min="515" max="515" width="1.33203125" customWidth="1"/>
    <col min="516" max="516" width="10.5" bestFit="1" customWidth="1"/>
    <col min="517" max="517" width="11.6640625" bestFit="1" customWidth="1"/>
    <col min="518" max="518" width="13.83203125" bestFit="1" customWidth="1"/>
    <col min="519" max="519" width="10.5" bestFit="1" customWidth="1"/>
    <col min="520" max="520" width="13.33203125" customWidth="1"/>
    <col min="521" max="521" width="13.83203125" bestFit="1" customWidth="1"/>
    <col min="522" max="522" width="14.1640625" bestFit="1" customWidth="1"/>
    <col min="523" max="523" width="15.6640625" customWidth="1"/>
    <col min="524" max="524" width="13.83203125" bestFit="1" customWidth="1"/>
    <col min="525" max="525" width="26.5" customWidth="1"/>
    <col min="526" max="526" width="4.83203125" customWidth="1"/>
    <col min="527" max="527" width="168" customWidth="1"/>
    <col min="769" max="769" width="0.83203125" customWidth="1"/>
    <col min="770" max="770" width="57.83203125" customWidth="1"/>
    <col min="771" max="771" width="1.33203125" customWidth="1"/>
    <col min="772" max="772" width="10.5" bestFit="1" customWidth="1"/>
    <col min="773" max="773" width="11.6640625" bestFit="1" customWidth="1"/>
    <col min="774" max="774" width="13.83203125" bestFit="1" customWidth="1"/>
    <col min="775" max="775" width="10.5" bestFit="1" customWidth="1"/>
    <col min="776" max="776" width="13.33203125" customWidth="1"/>
    <col min="777" max="777" width="13.83203125" bestFit="1" customWidth="1"/>
    <col min="778" max="778" width="14.1640625" bestFit="1" customWidth="1"/>
    <col min="779" max="779" width="15.6640625" customWidth="1"/>
    <col min="780" max="780" width="13.83203125" bestFit="1" customWidth="1"/>
    <col min="781" max="781" width="26.5" customWidth="1"/>
    <col min="782" max="782" width="4.83203125" customWidth="1"/>
    <col min="783" max="783" width="168" customWidth="1"/>
    <col min="1025" max="1025" width="0.83203125" customWidth="1"/>
    <col min="1026" max="1026" width="57.83203125" customWidth="1"/>
    <col min="1027" max="1027" width="1.33203125" customWidth="1"/>
    <col min="1028" max="1028" width="10.5" bestFit="1" customWidth="1"/>
    <col min="1029" max="1029" width="11.6640625" bestFit="1" customWidth="1"/>
    <col min="1030" max="1030" width="13.83203125" bestFit="1" customWidth="1"/>
    <col min="1031" max="1031" width="10.5" bestFit="1" customWidth="1"/>
    <col min="1032" max="1032" width="13.33203125" customWidth="1"/>
    <col min="1033" max="1033" width="13.83203125" bestFit="1" customWidth="1"/>
    <col min="1034" max="1034" width="14.1640625" bestFit="1" customWidth="1"/>
    <col min="1035" max="1035" width="15.6640625" customWidth="1"/>
    <col min="1036" max="1036" width="13.83203125" bestFit="1" customWidth="1"/>
    <col min="1037" max="1037" width="26.5" customWidth="1"/>
    <col min="1038" max="1038" width="4.83203125" customWidth="1"/>
    <col min="1039" max="1039" width="168" customWidth="1"/>
    <col min="1281" max="1281" width="0.83203125" customWidth="1"/>
    <col min="1282" max="1282" width="57.83203125" customWidth="1"/>
    <col min="1283" max="1283" width="1.33203125" customWidth="1"/>
    <col min="1284" max="1284" width="10.5" bestFit="1" customWidth="1"/>
    <col min="1285" max="1285" width="11.6640625" bestFit="1" customWidth="1"/>
    <col min="1286" max="1286" width="13.83203125" bestFit="1" customWidth="1"/>
    <col min="1287" max="1287" width="10.5" bestFit="1" customWidth="1"/>
    <col min="1288" max="1288" width="13.33203125" customWidth="1"/>
    <col min="1289" max="1289" width="13.83203125" bestFit="1" customWidth="1"/>
    <col min="1290" max="1290" width="14.1640625" bestFit="1" customWidth="1"/>
    <col min="1291" max="1291" width="15.6640625" customWidth="1"/>
    <col min="1292" max="1292" width="13.83203125" bestFit="1" customWidth="1"/>
    <col min="1293" max="1293" width="26.5" customWidth="1"/>
    <col min="1294" max="1294" width="4.83203125" customWidth="1"/>
    <col min="1295" max="1295" width="168" customWidth="1"/>
    <col min="1537" max="1537" width="0.83203125" customWidth="1"/>
    <col min="1538" max="1538" width="57.83203125" customWidth="1"/>
    <col min="1539" max="1539" width="1.33203125" customWidth="1"/>
    <col min="1540" max="1540" width="10.5" bestFit="1" customWidth="1"/>
    <col min="1541" max="1541" width="11.6640625" bestFit="1" customWidth="1"/>
    <col min="1542" max="1542" width="13.83203125" bestFit="1" customWidth="1"/>
    <col min="1543" max="1543" width="10.5" bestFit="1" customWidth="1"/>
    <col min="1544" max="1544" width="13.33203125" customWidth="1"/>
    <col min="1545" max="1545" width="13.83203125" bestFit="1" customWidth="1"/>
    <col min="1546" max="1546" width="14.1640625" bestFit="1" customWidth="1"/>
    <col min="1547" max="1547" width="15.6640625" customWidth="1"/>
    <col min="1548" max="1548" width="13.83203125" bestFit="1" customWidth="1"/>
    <col min="1549" max="1549" width="26.5" customWidth="1"/>
    <col min="1550" max="1550" width="4.83203125" customWidth="1"/>
    <col min="1551" max="1551" width="168" customWidth="1"/>
    <col min="1793" max="1793" width="0.83203125" customWidth="1"/>
    <col min="1794" max="1794" width="57.83203125" customWidth="1"/>
    <col min="1795" max="1795" width="1.33203125" customWidth="1"/>
    <col min="1796" max="1796" width="10.5" bestFit="1" customWidth="1"/>
    <col min="1797" max="1797" width="11.6640625" bestFit="1" customWidth="1"/>
    <col min="1798" max="1798" width="13.83203125" bestFit="1" customWidth="1"/>
    <col min="1799" max="1799" width="10.5" bestFit="1" customWidth="1"/>
    <col min="1800" max="1800" width="13.33203125" customWidth="1"/>
    <col min="1801" max="1801" width="13.83203125" bestFit="1" customWidth="1"/>
    <col min="1802" max="1802" width="14.1640625" bestFit="1" customWidth="1"/>
    <col min="1803" max="1803" width="15.6640625" customWidth="1"/>
    <col min="1804" max="1804" width="13.83203125" bestFit="1" customWidth="1"/>
    <col min="1805" max="1805" width="26.5" customWidth="1"/>
    <col min="1806" max="1806" width="4.83203125" customWidth="1"/>
    <col min="1807" max="1807" width="168" customWidth="1"/>
    <col min="2049" max="2049" width="0.83203125" customWidth="1"/>
    <col min="2050" max="2050" width="57.83203125" customWidth="1"/>
    <col min="2051" max="2051" width="1.33203125" customWidth="1"/>
    <col min="2052" max="2052" width="10.5" bestFit="1" customWidth="1"/>
    <col min="2053" max="2053" width="11.6640625" bestFit="1" customWidth="1"/>
    <col min="2054" max="2054" width="13.83203125" bestFit="1" customWidth="1"/>
    <col min="2055" max="2055" width="10.5" bestFit="1" customWidth="1"/>
    <col min="2056" max="2056" width="13.33203125" customWidth="1"/>
    <col min="2057" max="2057" width="13.83203125" bestFit="1" customWidth="1"/>
    <col min="2058" max="2058" width="14.1640625" bestFit="1" customWidth="1"/>
    <col min="2059" max="2059" width="15.6640625" customWidth="1"/>
    <col min="2060" max="2060" width="13.83203125" bestFit="1" customWidth="1"/>
    <col min="2061" max="2061" width="26.5" customWidth="1"/>
    <col min="2062" max="2062" width="4.83203125" customWidth="1"/>
    <col min="2063" max="2063" width="168" customWidth="1"/>
    <col min="2305" max="2305" width="0.83203125" customWidth="1"/>
    <col min="2306" max="2306" width="57.83203125" customWidth="1"/>
    <col min="2307" max="2307" width="1.33203125" customWidth="1"/>
    <col min="2308" max="2308" width="10.5" bestFit="1" customWidth="1"/>
    <col min="2309" max="2309" width="11.6640625" bestFit="1" customWidth="1"/>
    <col min="2310" max="2310" width="13.83203125" bestFit="1" customWidth="1"/>
    <col min="2311" max="2311" width="10.5" bestFit="1" customWidth="1"/>
    <col min="2312" max="2312" width="13.33203125" customWidth="1"/>
    <col min="2313" max="2313" width="13.83203125" bestFit="1" customWidth="1"/>
    <col min="2314" max="2314" width="14.1640625" bestFit="1" customWidth="1"/>
    <col min="2315" max="2315" width="15.6640625" customWidth="1"/>
    <col min="2316" max="2316" width="13.83203125" bestFit="1" customWidth="1"/>
    <col min="2317" max="2317" width="26.5" customWidth="1"/>
    <col min="2318" max="2318" width="4.83203125" customWidth="1"/>
    <col min="2319" max="2319" width="168" customWidth="1"/>
    <col min="2561" max="2561" width="0.83203125" customWidth="1"/>
    <col min="2562" max="2562" width="57.83203125" customWidth="1"/>
    <col min="2563" max="2563" width="1.33203125" customWidth="1"/>
    <col min="2564" max="2564" width="10.5" bestFit="1" customWidth="1"/>
    <col min="2565" max="2565" width="11.6640625" bestFit="1" customWidth="1"/>
    <col min="2566" max="2566" width="13.83203125" bestFit="1" customWidth="1"/>
    <col min="2567" max="2567" width="10.5" bestFit="1" customWidth="1"/>
    <col min="2568" max="2568" width="13.33203125" customWidth="1"/>
    <col min="2569" max="2569" width="13.83203125" bestFit="1" customWidth="1"/>
    <col min="2570" max="2570" width="14.1640625" bestFit="1" customWidth="1"/>
    <col min="2571" max="2571" width="15.6640625" customWidth="1"/>
    <col min="2572" max="2572" width="13.83203125" bestFit="1" customWidth="1"/>
    <col min="2573" max="2573" width="26.5" customWidth="1"/>
    <col min="2574" max="2574" width="4.83203125" customWidth="1"/>
    <col min="2575" max="2575" width="168" customWidth="1"/>
    <col min="2817" max="2817" width="0.83203125" customWidth="1"/>
    <col min="2818" max="2818" width="57.83203125" customWidth="1"/>
    <col min="2819" max="2819" width="1.33203125" customWidth="1"/>
    <col min="2820" max="2820" width="10.5" bestFit="1" customWidth="1"/>
    <col min="2821" max="2821" width="11.6640625" bestFit="1" customWidth="1"/>
    <col min="2822" max="2822" width="13.83203125" bestFit="1" customWidth="1"/>
    <col min="2823" max="2823" width="10.5" bestFit="1" customWidth="1"/>
    <col min="2824" max="2824" width="13.33203125" customWidth="1"/>
    <col min="2825" max="2825" width="13.83203125" bestFit="1" customWidth="1"/>
    <col min="2826" max="2826" width="14.1640625" bestFit="1" customWidth="1"/>
    <col min="2827" max="2827" width="15.6640625" customWidth="1"/>
    <col min="2828" max="2828" width="13.83203125" bestFit="1" customWidth="1"/>
    <col min="2829" max="2829" width="26.5" customWidth="1"/>
    <col min="2830" max="2830" width="4.83203125" customWidth="1"/>
    <col min="2831" max="2831" width="168" customWidth="1"/>
    <col min="3073" max="3073" width="0.83203125" customWidth="1"/>
    <col min="3074" max="3074" width="57.83203125" customWidth="1"/>
    <col min="3075" max="3075" width="1.33203125" customWidth="1"/>
    <col min="3076" max="3076" width="10.5" bestFit="1" customWidth="1"/>
    <col min="3077" max="3077" width="11.6640625" bestFit="1" customWidth="1"/>
    <col min="3078" max="3078" width="13.83203125" bestFit="1" customWidth="1"/>
    <col min="3079" max="3079" width="10.5" bestFit="1" customWidth="1"/>
    <col min="3080" max="3080" width="13.33203125" customWidth="1"/>
    <col min="3081" max="3081" width="13.83203125" bestFit="1" customWidth="1"/>
    <col min="3082" max="3082" width="14.1640625" bestFit="1" customWidth="1"/>
    <col min="3083" max="3083" width="15.6640625" customWidth="1"/>
    <col min="3084" max="3084" width="13.83203125" bestFit="1" customWidth="1"/>
    <col min="3085" max="3085" width="26.5" customWidth="1"/>
    <col min="3086" max="3086" width="4.83203125" customWidth="1"/>
    <col min="3087" max="3087" width="168" customWidth="1"/>
    <col min="3329" max="3329" width="0.83203125" customWidth="1"/>
    <col min="3330" max="3330" width="57.83203125" customWidth="1"/>
    <col min="3331" max="3331" width="1.33203125" customWidth="1"/>
    <col min="3332" max="3332" width="10.5" bestFit="1" customWidth="1"/>
    <col min="3333" max="3333" width="11.6640625" bestFit="1" customWidth="1"/>
    <col min="3334" max="3334" width="13.83203125" bestFit="1" customWidth="1"/>
    <col min="3335" max="3335" width="10.5" bestFit="1" customWidth="1"/>
    <col min="3336" max="3336" width="13.33203125" customWidth="1"/>
    <col min="3337" max="3337" width="13.83203125" bestFit="1" customWidth="1"/>
    <col min="3338" max="3338" width="14.1640625" bestFit="1" customWidth="1"/>
    <col min="3339" max="3339" width="15.6640625" customWidth="1"/>
    <col min="3340" max="3340" width="13.83203125" bestFit="1" customWidth="1"/>
    <col min="3341" max="3341" width="26.5" customWidth="1"/>
    <col min="3342" max="3342" width="4.83203125" customWidth="1"/>
    <col min="3343" max="3343" width="168" customWidth="1"/>
    <col min="3585" max="3585" width="0.83203125" customWidth="1"/>
    <col min="3586" max="3586" width="57.83203125" customWidth="1"/>
    <col min="3587" max="3587" width="1.33203125" customWidth="1"/>
    <col min="3588" max="3588" width="10.5" bestFit="1" customWidth="1"/>
    <col min="3589" max="3589" width="11.6640625" bestFit="1" customWidth="1"/>
    <col min="3590" max="3590" width="13.83203125" bestFit="1" customWidth="1"/>
    <col min="3591" max="3591" width="10.5" bestFit="1" customWidth="1"/>
    <col min="3592" max="3592" width="13.33203125" customWidth="1"/>
    <col min="3593" max="3593" width="13.83203125" bestFit="1" customWidth="1"/>
    <col min="3594" max="3594" width="14.1640625" bestFit="1" customWidth="1"/>
    <col min="3595" max="3595" width="15.6640625" customWidth="1"/>
    <col min="3596" max="3596" width="13.83203125" bestFit="1" customWidth="1"/>
    <col min="3597" max="3597" width="26.5" customWidth="1"/>
    <col min="3598" max="3598" width="4.83203125" customWidth="1"/>
    <col min="3599" max="3599" width="168" customWidth="1"/>
    <col min="3841" max="3841" width="0.83203125" customWidth="1"/>
    <col min="3842" max="3842" width="57.83203125" customWidth="1"/>
    <col min="3843" max="3843" width="1.33203125" customWidth="1"/>
    <col min="3844" max="3844" width="10.5" bestFit="1" customWidth="1"/>
    <col min="3845" max="3845" width="11.6640625" bestFit="1" customWidth="1"/>
    <col min="3846" max="3846" width="13.83203125" bestFit="1" customWidth="1"/>
    <col min="3847" max="3847" width="10.5" bestFit="1" customWidth="1"/>
    <col min="3848" max="3848" width="13.33203125" customWidth="1"/>
    <col min="3849" max="3849" width="13.83203125" bestFit="1" customWidth="1"/>
    <col min="3850" max="3850" width="14.1640625" bestFit="1" customWidth="1"/>
    <col min="3851" max="3851" width="15.6640625" customWidth="1"/>
    <col min="3852" max="3852" width="13.83203125" bestFit="1" customWidth="1"/>
    <col min="3853" max="3853" width="26.5" customWidth="1"/>
    <col min="3854" max="3854" width="4.83203125" customWidth="1"/>
    <col min="3855" max="3855" width="168" customWidth="1"/>
    <col min="4097" max="4097" width="0.83203125" customWidth="1"/>
    <col min="4098" max="4098" width="57.83203125" customWidth="1"/>
    <col min="4099" max="4099" width="1.33203125" customWidth="1"/>
    <col min="4100" max="4100" width="10.5" bestFit="1" customWidth="1"/>
    <col min="4101" max="4101" width="11.6640625" bestFit="1" customWidth="1"/>
    <col min="4102" max="4102" width="13.83203125" bestFit="1" customWidth="1"/>
    <col min="4103" max="4103" width="10.5" bestFit="1" customWidth="1"/>
    <col min="4104" max="4104" width="13.33203125" customWidth="1"/>
    <col min="4105" max="4105" width="13.83203125" bestFit="1" customWidth="1"/>
    <col min="4106" max="4106" width="14.1640625" bestFit="1" customWidth="1"/>
    <col min="4107" max="4107" width="15.6640625" customWidth="1"/>
    <col min="4108" max="4108" width="13.83203125" bestFit="1" customWidth="1"/>
    <col min="4109" max="4109" width="26.5" customWidth="1"/>
    <col min="4110" max="4110" width="4.83203125" customWidth="1"/>
    <col min="4111" max="4111" width="168" customWidth="1"/>
    <col min="4353" max="4353" width="0.83203125" customWidth="1"/>
    <col min="4354" max="4354" width="57.83203125" customWidth="1"/>
    <col min="4355" max="4355" width="1.33203125" customWidth="1"/>
    <col min="4356" max="4356" width="10.5" bestFit="1" customWidth="1"/>
    <col min="4357" max="4357" width="11.6640625" bestFit="1" customWidth="1"/>
    <col min="4358" max="4358" width="13.83203125" bestFit="1" customWidth="1"/>
    <col min="4359" max="4359" width="10.5" bestFit="1" customWidth="1"/>
    <col min="4360" max="4360" width="13.33203125" customWidth="1"/>
    <col min="4361" max="4361" width="13.83203125" bestFit="1" customWidth="1"/>
    <col min="4362" max="4362" width="14.1640625" bestFit="1" customWidth="1"/>
    <col min="4363" max="4363" width="15.6640625" customWidth="1"/>
    <col min="4364" max="4364" width="13.83203125" bestFit="1" customWidth="1"/>
    <col min="4365" max="4365" width="26.5" customWidth="1"/>
    <col min="4366" max="4366" width="4.83203125" customWidth="1"/>
    <col min="4367" max="4367" width="168" customWidth="1"/>
    <col min="4609" max="4609" width="0.83203125" customWidth="1"/>
    <col min="4610" max="4610" width="57.83203125" customWidth="1"/>
    <col min="4611" max="4611" width="1.33203125" customWidth="1"/>
    <col min="4612" max="4612" width="10.5" bestFit="1" customWidth="1"/>
    <col min="4613" max="4613" width="11.6640625" bestFit="1" customWidth="1"/>
    <col min="4614" max="4614" width="13.83203125" bestFit="1" customWidth="1"/>
    <col min="4615" max="4615" width="10.5" bestFit="1" customWidth="1"/>
    <col min="4616" max="4616" width="13.33203125" customWidth="1"/>
    <col min="4617" max="4617" width="13.83203125" bestFit="1" customWidth="1"/>
    <col min="4618" max="4618" width="14.1640625" bestFit="1" customWidth="1"/>
    <col min="4619" max="4619" width="15.6640625" customWidth="1"/>
    <col min="4620" max="4620" width="13.83203125" bestFit="1" customWidth="1"/>
    <col min="4621" max="4621" width="26.5" customWidth="1"/>
    <col min="4622" max="4622" width="4.83203125" customWidth="1"/>
    <col min="4623" max="4623" width="168" customWidth="1"/>
    <col min="4865" max="4865" width="0.83203125" customWidth="1"/>
    <col min="4866" max="4866" width="57.83203125" customWidth="1"/>
    <col min="4867" max="4867" width="1.33203125" customWidth="1"/>
    <col min="4868" max="4868" width="10.5" bestFit="1" customWidth="1"/>
    <col min="4869" max="4869" width="11.6640625" bestFit="1" customWidth="1"/>
    <col min="4870" max="4870" width="13.83203125" bestFit="1" customWidth="1"/>
    <col min="4871" max="4871" width="10.5" bestFit="1" customWidth="1"/>
    <col min="4872" max="4872" width="13.33203125" customWidth="1"/>
    <col min="4873" max="4873" width="13.83203125" bestFit="1" customWidth="1"/>
    <col min="4874" max="4874" width="14.1640625" bestFit="1" customWidth="1"/>
    <col min="4875" max="4875" width="15.6640625" customWidth="1"/>
    <col min="4876" max="4876" width="13.83203125" bestFit="1" customWidth="1"/>
    <col min="4877" max="4877" width="26.5" customWidth="1"/>
    <col min="4878" max="4878" width="4.83203125" customWidth="1"/>
    <col min="4879" max="4879" width="168" customWidth="1"/>
    <col min="5121" max="5121" width="0.83203125" customWidth="1"/>
    <col min="5122" max="5122" width="57.83203125" customWidth="1"/>
    <col min="5123" max="5123" width="1.33203125" customWidth="1"/>
    <col min="5124" max="5124" width="10.5" bestFit="1" customWidth="1"/>
    <col min="5125" max="5125" width="11.6640625" bestFit="1" customWidth="1"/>
    <col min="5126" max="5126" width="13.83203125" bestFit="1" customWidth="1"/>
    <col min="5127" max="5127" width="10.5" bestFit="1" customWidth="1"/>
    <col min="5128" max="5128" width="13.33203125" customWidth="1"/>
    <col min="5129" max="5129" width="13.83203125" bestFit="1" customWidth="1"/>
    <col min="5130" max="5130" width="14.1640625" bestFit="1" customWidth="1"/>
    <col min="5131" max="5131" width="15.6640625" customWidth="1"/>
    <col min="5132" max="5132" width="13.83203125" bestFit="1" customWidth="1"/>
    <col min="5133" max="5133" width="26.5" customWidth="1"/>
    <col min="5134" max="5134" width="4.83203125" customWidth="1"/>
    <col min="5135" max="5135" width="168" customWidth="1"/>
    <col min="5377" max="5377" width="0.83203125" customWidth="1"/>
    <col min="5378" max="5378" width="57.83203125" customWidth="1"/>
    <col min="5379" max="5379" width="1.33203125" customWidth="1"/>
    <col min="5380" max="5380" width="10.5" bestFit="1" customWidth="1"/>
    <col min="5381" max="5381" width="11.6640625" bestFit="1" customWidth="1"/>
    <col min="5382" max="5382" width="13.83203125" bestFit="1" customWidth="1"/>
    <col min="5383" max="5383" width="10.5" bestFit="1" customWidth="1"/>
    <col min="5384" max="5384" width="13.33203125" customWidth="1"/>
    <col min="5385" max="5385" width="13.83203125" bestFit="1" customWidth="1"/>
    <col min="5386" max="5386" width="14.1640625" bestFit="1" customWidth="1"/>
    <col min="5387" max="5387" width="15.6640625" customWidth="1"/>
    <col min="5388" max="5388" width="13.83203125" bestFit="1" customWidth="1"/>
    <col min="5389" max="5389" width="26.5" customWidth="1"/>
    <col min="5390" max="5390" width="4.83203125" customWidth="1"/>
    <col min="5391" max="5391" width="168" customWidth="1"/>
    <col min="5633" max="5633" width="0.83203125" customWidth="1"/>
    <col min="5634" max="5634" width="57.83203125" customWidth="1"/>
    <col min="5635" max="5635" width="1.33203125" customWidth="1"/>
    <col min="5636" max="5636" width="10.5" bestFit="1" customWidth="1"/>
    <col min="5637" max="5637" width="11.6640625" bestFit="1" customWidth="1"/>
    <col min="5638" max="5638" width="13.83203125" bestFit="1" customWidth="1"/>
    <col min="5639" max="5639" width="10.5" bestFit="1" customWidth="1"/>
    <col min="5640" max="5640" width="13.33203125" customWidth="1"/>
    <col min="5641" max="5641" width="13.83203125" bestFit="1" customWidth="1"/>
    <col min="5642" max="5642" width="14.1640625" bestFit="1" customWidth="1"/>
    <col min="5643" max="5643" width="15.6640625" customWidth="1"/>
    <col min="5644" max="5644" width="13.83203125" bestFit="1" customWidth="1"/>
    <col min="5645" max="5645" width="26.5" customWidth="1"/>
    <col min="5646" max="5646" width="4.83203125" customWidth="1"/>
    <col min="5647" max="5647" width="168" customWidth="1"/>
    <col min="5889" max="5889" width="0.83203125" customWidth="1"/>
    <col min="5890" max="5890" width="57.83203125" customWidth="1"/>
    <col min="5891" max="5891" width="1.33203125" customWidth="1"/>
    <col min="5892" max="5892" width="10.5" bestFit="1" customWidth="1"/>
    <col min="5893" max="5893" width="11.6640625" bestFit="1" customWidth="1"/>
    <col min="5894" max="5894" width="13.83203125" bestFit="1" customWidth="1"/>
    <col min="5895" max="5895" width="10.5" bestFit="1" customWidth="1"/>
    <col min="5896" max="5896" width="13.33203125" customWidth="1"/>
    <col min="5897" max="5897" width="13.83203125" bestFit="1" customWidth="1"/>
    <col min="5898" max="5898" width="14.1640625" bestFit="1" customWidth="1"/>
    <col min="5899" max="5899" width="15.6640625" customWidth="1"/>
    <col min="5900" max="5900" width="13.83203125" bestFit="1" customWidth="1"/>
    <col min="5901" max="5901" width="26.5" customWidth="1"/>
    <col min="5902" max="5902" width="4.83203125" customWidth="1"/>
    <col min="5903" max="5903" width="168" customWidth="1"/>
    <col min="6145" max="6145" width="0.83203125" customWidth="1"/>
    <col min="6146" max="6146" width="57.83203125" customWidth="1"/>
    <col min="6147" max="6147" width="1.33203125" customWidth="1"/>
    <col min="6148" max="6148" width="10.5" bestFit="1" customWidth="1"/>
    <col min="6149" max="6149" width="11.6640625" bestFit="1" customWidth="1"/>
    <col min="6150" max="6150" width="13.83203125" bestFit="1" customWidth="1"/>
    <col min="6151" max="6151" width="10.5" bestFit="1" customWidth="1"/>
    <col min="6152" max="6152" width="13.33203125" customWidth="1"/>
    <col min="6153" max="6153" width="13.83203125" bestFit="1" customWidth="1"/>
    <col min="6154" max="6154" width="14.1640625" bestFit="1" customWidth="1"/>
    <col min="6155" max="6155" width="15.6640625" customWidth="1"/>
    <col min="6156" max="6156" width="13.83203125" bestFit="1" customWidth="1"/>
    <col min="6157" max="6157" width="26.5" customWidth="1"/>
    <col min="6158" max="6158" width="4.83203125" customWidth="1"/>
    <col min="6159" max="6159" width="168" customWidth="1"/>
    <col min="6401" max="6401" width="0.83203125" customWidth="1"/>
    <col min="6402" max="6402" width="57.83203125" customWidth="1"/>
    <col min="6403" max="6403" width="1.33203125" customWidth="1"/>
    <col min="6404" max="6404" width="10.5" bestFit="1" customWidth="1"/>
    <col min="6405" max="6405" width="11.6640625" bestFit="1" customWidth="1"/>
    <col min="6406" max="6406" width="13.83203125" bestFit="1" customWidth="1"/>
    <col min="6407" max="6407" width="10.5" bestFit="1" customWidth="1"/>
    <col min="6408" max="6408" width="13.33203125" customWidth="1"/>
    <col min="6409" max="6409" width="13.83203125" bestFit="1" customWidth="1"/>
    <col min="6410" max="6410" width="14.1640625" bestFit="1" customWidth="1"/>
    <col min="6411" max="6411" width="15.6640625" customWidth="1"/>
    <col min="6412" max="6412" width="13.83203125" bestFit="1" customWidth="1"/>
    <col min="6413" max="6413" width="26.5" customWidth="1"/>
    <col min="6414" max="6414" width="4.83203125" customWidth="1"/>
    <col min="6415" max="6415" width="168" customWidth="1"/>
    <col min="6657" max="6657" width="0.83203125" customWidth="1"/>
    <col min="6658" max="6658" width="57.83203125" customWidth="1"/>
    <col min="6659" max="6659" width="1.33203125" customWidth="1"/>
    <col min="6660" max="6660" width="10.5" bestFit="1" customWidth="1"/>
    <col min="6661" max="6661" width="11.6640625" bestFit="1" customWidth="1"/>
    <col min="6662" max="6662" width="13.83203125" bestFit="1" customWidth="1"/>
    <col min="6663" max="6663" width="10.5" bestFit="1" customWidth="1"/>
    <col min="6664" max="6664" width="13.33203125" customWidth="1"/>
    <col min="6665" max="6665" width="13.83203125" bestFit="1" customWidth="1"/>
    <col min="6666" max="6666" width="14.1640625" bestFit="1" customWidth="1"/>
    <col min="6667" max="6667" width="15.6640625" customWidth="1"/>
    <col min="6668" max="6668" width="13.83203125" bestFit="1" customWidth="1"/>
    <col min="6669" max="6669" width="26.5" customWidth="1"/>
    <col min="6670" max="6670" width="4.83203125" customWidth="1"/>
    <col min="6671" max="6671" width="168" customWidth="1"/>
    <col min="6913" max="6913" width="0.83203125" customWidth="1"/>
    <col min="6914" max="6914" width="57.83203125" customWidth="1"/>
    <col min="6915" max="6915" width="1.33203125" customWidth="1"/>
    <col min="6916" max="6916" width="10.5" bestFit="1" customWidth="1"/>
    <col min="6917" max="6917" width="11.6640625" bestFit="1" customWidth="1"/>
    <col min="6918" max="6918" width="13.83203125" bestFit="1" customWidth="1"/>
    <col min="6919" max="6919" width="10.5" bestFit="1" customWidth="1"/>
    <col min="6920" max="6920" width="13.33203125" customWidth="1"/>
    <col min="6921" max="6921" width="13.83203125" bestFit="1" customWidth="1"/>
    <col min="6922" max="6922" width="14.1640625" bestFit="1" customWidth="1"/>
    <col min="6923" max="6923" width="15.6640625" customWidth="1"/>
    <col min="6924" max="6924" width="13.83203125" bestFit="1" customWidth="1"/>
    <col min="6925" max="6925" width="26.5" customWidth="1"/>
    <col min="6926" max="6926" width="4.83203125" customWidth="1"/>
    <col min="6927" max="6927" width="168" customWidth="1"/>
    <col min="7169" max="7169" width="0.83203125" customWidth="1"/>
    <col min="7170" max="7170" width="57.83203125" customWidth="1"/>
    <col min="7171" max="7171" width="1.33203125" customWidth="1"/>
    <col min="7172" max="7172" width="10.5" bestFit="1" customWidth="1"/>
    <col min="7173" max="7173" width="11.6640625" bestFit="1" customWidth="1"/>
    <col min="7174" max="7174" width="13.83203125" bestFit="1" customWidth="1"/>
    <col min="7175" max="7175" width="10.5" bestFit="1" customWidth="1"/>
    <col min="7176" max="7176" width="13.33203125" customWidth="1"/>
    <col min="7177" max="7177" width="13.83203125" bestFit="1" customWidth="1"/>
    <col min="7178" max="7178" width="14.1640625" bestFit="1" customWidth="1"/>
    <col min="7179" max="7179" width="15.6640625" customWidth="1"/>
    <col min="7180" max="7180" width="13.83203125" bestFit="1" customWidth="1"/>
    <col min="7181" max="7181" width="26.5" customWidth="1"/>
    <col min="7182" max="7182" width="4.83203125" customWidth="1"/>
    <col min="7183" max="7183" width="168" customWidth="1"/>
    <col min="7425" max="7425" width="0.83203125" customWidth="1"/>
    <col min="7426" max="7426" width="57.83203125" customWidth="1"/>
    <col min="7427" max="7427" width="1.33203125" customWidth="1"/>
    <col min="7428" max="7428" width="10.5" bestFit="1" customWidth="1"/>
    <col min="7429" max="7429" width="11.6640625" bestFit="1" customWidth="1"/>
    <col min="7430" max="7430" width="13.83203125" bestFit="1" customWidth="1"/>
    <col min="7431" max="7431" width="10.5" bestFit="1" customWidth="1"/>
    <col min="7432" max="7432" width="13.33203125" customWidth="1"/>
    <col min="7433" max="7433" width="13.83203125" bestFit="1" customWidth="1"/>
    <col min="7434" max="7434" width="14.1640625" bestFit="1" customWidth="1"/>
    <col min="7435" max="7435" width="15.6640625" customWidth="1"/>
    <col min="7436" max="7436" width="13.83203125" bestFit="1" customWidth="1"/>
    <col min="7437" max="7437" width="26.5" customWidth="1"/>
    <col min="7438" max="7438" width="4.83203125" customWidth="1"/>
    <col min="7439" max="7439" width="168" customWidth="1"/>
    <col min="7681" max="7681" width="0.83203125" customWidth="1"/>
    <col min="7682" max="7682" width="57.83203125" customWidth="1"/>
    <col min="7683" max="7683" width="1.33203125" customWidth="1"/>
    <col min="7684" max="7684" width="10.5" bestFit="1" customWidth="1"/>
    <col min="7685" max="7685" width="11.6640625" bestFit="1" customWidth="1"/>
    <col min="7686" max="7686" width="13.83203125" bestFit="1" customWidth="1"/>
    <col min="7687" max="7687" width="10.5" bestFit="1" customWidth="1"/>
    <col min="7688" max="7688" width="13.33203125" customWidth="1"/>
    <col min="7689" max="7689" width="13.83203125" bestFit="1" customWidth="1"/>
    <col min="7690" max="7690" width="14.1640625" bestFit="1" customWidth="1"/>
    <col min="7691" max="7691" width="15.6640625" customWidth="1"/>
    <col min="7692" max="7692" width="13.83203125" bestFit="1" customWidth="1"/>
    <col min="7693" max="7693" width="26.5" customWidth="1"/>
    <col min="7694" max="7694" width="4.83203125" customWidth="1"/>
    <col min="7695" max="7695" width="168" customWidth="1"/>
    <col min="7937" max="7937" width="0.83203125" customWidth="1"/>
    <col min="7938" max="7938" width="57.83203125" customWidth="1"/>
    <col min="7939" max="7939" width="1.33203125" customWidth="1"/>
    <col min="7940" max="7940" width="10.5" bestFit="1" customWidth="1"/>
    <col min="7941" max="7941" width="11.6640625" bestFit="1" customWidth="1"/>
    <col min="7942" max="7942" width="13.83203125" bestFit="1" customWidth="1"/>
    <col min="7943" max="7943" width="10.5" bestFit="1" customWidth="1"/>
    <col min="7944" max="7944" width="13.33203125" customWidth="1"/>
    <col min="7945" max="7945" width="13.83203125" bestFit="1" customWidth="1"/>
    <col min="7946" max="7946" width="14.1640625" bestFit="1" customWidth="1"/>
    <col min="7947" max="7947" width="15.6640625" customWidth="1"/>
    <col min="7948" max="7948" width="13.83203125" bestFit="1" customWidth="1"/>
    <col min="7949" max="7949" width="26.5" customWidth="1"/>
    <col min="7950" max="7950" width="4.83203125" customWidth="1"/>
    <col min="7951" max="7951" width="168" customWidth="1"/>
    <col min="8193" max="8193" width="0.83203125" customWidth="1"/>
    <col min="8194" max="8194" width="57.83203125" customWidth="1"/>
    <col min="8195" max="8195" width="1.33203125" customWidth="1"/>
    <col min="8196" max="8196" width="10.5" bestFit="1" customWidth="1"/>
    <col min="8197" max="8197" width="11.6640625" bestFit="1" customWidth="1"/>
    <col min="8198" max="8198" width="13.83203125" bestFit="1" customWidth="1"/>
    <col min="8199" max="8199" width="10.5" bestFit="1" customWidth="1"/>
    <col min="8200" max="8200" width="13.33203125" customWidth="1"/>
    <col min="8201" max="8201" width="13.83203125" bestFit="1" customWidth="1"/>
    <col min="8202" max="8202" width="14.1640625" bestFit="1" customWidth="1"/>
    <col min="8203" max="8203" width="15.6640625" customWidth="1"/>
    <col min="8204" max="8204" width="13.83203125" bestFit="1" customWidth="1"/>
    <col min="8205" max="8205" width="26.5" customWidth="1"/>
    <col min="8206" max="8206" width="4.83203125" customWidth="1"/>
    <col min="8207" max="8207" width="168" customWidth="1"/>
    <col min="8449" max="8449" width="0.83203125" customWidth="1"/>
    <col min="8450" max="8450" width="57.83203125" customWidth="1"/>
    <col min="8451" max="8451" width="1.33203125" customWidth="1"/>
    <col min="8452" max="8452" width="10.5" bestFit="1" customWidth="1"/>
    <col min="8453" max="8453" width="11.6640625" bestFit="1" customWidth="1"/>
    <col min="8454" max="8454" width="13.83203125" bestFit="1" customWidth="1"/>
    <col min="8455" max="8455" width="10.5" bestFit="1" customWidth="1"/>
    <col min="8456" max="8456" width="13.33203125" customWidth="1"/>
    <col min="8457" max="8457" width="13.83203125" bestFit="1" customWidth="1"/>
    <col min="8458" max="8458" width="14.1640625" bestFit="1" customWidth="1"/>
    <col min="8459" max="8459" width="15.6640625" customWidth="1"/>
    <col min="8460" max="8460" width="13.83203125" bestFit="1" customWidth="1"/>
    <col min="8461" max="8461" width="26.5" customWidth="1"/>
    <col min="8462" max="8462" width="4.83203125" customWidth="1"/>
    <col min="8463" max="8463" width="168" customWidth="1"/>
    <col min="8705" max="8705" width="0.83203125" customWidth="1"/>
    <col min="8706" max="8706" width="57.83203125" customWidth="1"/>
    <col min="8707" max="8707" width="1.33203125" customWidth="1"/>
    <col min="8708" max="8708" width="10.5" bestFit="1" customWidth="1"/>
    <col min="8709" max="8709" width="11.6640625" bestFit="1" customWidth="1"/>
    <col min="8710" max="8710" width="13.83203125" bestFit="1" customWidth="1"/>
    <col min="8711" max="8711" width="10.5" bestFit="1" customWidth="1"/>
    <col min="8712" max="8712" width="13.33203125" customWidth="1"/>
    <col min="8713" max="8713" width="13.83203125" bestFit="1" customWidth="1"/>
    <col min="8714" max="8714" width="14.1640625" bestFit="1" customWidth="1"/>
    <col min="8715" max="8715" width="15.6640625" customWidth="1"/>
    <col min="8716" max="8716" width="13.83203125" bestFit="1" customWidth="1"/>
    <col min="8717" max="8717" width="26.5" customWidth="1"/>
    <col min="8718" max="8718" width="4.83203125" customWidth="1"/>
    <col min="8719" max="8719" width="168" customWidth="1"/>
    <col min="8961" max="8961" width="0.83203125" customWidth="1"/>
    <col min="8962" max="8962" width="57.83203125" customWidth="1"/>
    <col min="8963" max="8963" width="1.33203125" customWidth="1"/>
    <col min="8964" max="8964" width="10.5" bestFit="1" customWidth="1"/>
    <col min="8965" max="8965" width="11.6640625" bestFit="1" customWidth="1"/>
    <col min="8966" max="8966" width="13.83203125" bestFit="1" customWidth="1"/>
    <col min="8967" max="8967" width="10.5" bestFit="1" customWidth="1"/>
    <col min="8968" max="8968" width="13.33203125" customWidth="1"/>
    <col min="8969" max="8969" width="13.83203125" bestFit="1" customWidth="1"/>
    <col min="8970" max="8970" width="14.1640625" bestFit="1" customWidth="1"/>
    <col min="8971" max="8971" width="15.6640625" customWidth="1"/>
    <col min="8972" max="8972" width="13.83203125" bestFit="1" customWidth="1"/>
    <col min="8973" max="8973" width="26.5" customWidth="1"/>
    <col min="8974" max="8974" width="4.83203125" customWidth="1"/>
    <col min="8975" max="8975" width="168" customWidth="1"/>
    <col min="9217" max="9217" width="0.83203125" customWidth="1"/>
    <col min="9218" max="9218" width="57.83203125" customWidth="1"/>
    <col min="9219" max="9219" width="1.33203125" customWidth="1"/>
    <col min="9220" max="9220" width="10.5" bestFit="1" customWidth="1"/>
    <col min="9221" max="9221" width="11.6640625" bestFit="1" customWidth="1"/>
    <col min="9222" max="9222" width="13.83203125" bestFit="1" customWidth="1"/>
    <col min="9223" max="9223" width="10.5" bestFit="1" customWidth="1"/>
    <col min="9224" max="9224" width="13.33203125" customWidth="1"/>
    <col min="9225" max="9225" width="13.83203125" bestFit="1" customWidth="1"/>
    <col min="9226" max="9226" width="14.1640625" bestFit="1" customWidth="1"/>
    <col min="9227" max="9227" width="15.6640625" customWidth="1"/>
    <col min="9228" max="9228" width="13.83203125" bestFit="1" customWidth="1"/>
    <col min="9229" max="9229" width="26.5" customWidth="1"/>
    <col min="9230" max="9230" width="4.83203125" customWidth="1"/>
    <col min="9231" max="9231" width="168" customWidth="1"/>
    <col min="9473" max="9473" width="0.83203125" customWidth="1"/>
    <col min="9474" max="9474" width="57.83203125" customWidth="1"/>
    <col min="9475" max="9475" width="1.33203125" customWidth="1"/>
    <col min="9476" max="9476" width="10.5" bestFit="1" customWidth="1"/>
    <col min="9477" max="9477" width="11.6640625" bestFit="1" customWidth="1"/>
    <col min="9478" max="9478" width="13.83203125" bestFit="1" customWidth="1"/>
    <col min="9479" max="9479" width="10.5" bestFit="1" customWidth="1"/>
    <col min="9480" max="9480" width="13.33203125" customWidth="1"/>
    <col min="9481" max="9481" width="13.83203125" bestFit="1" customWidth="1"/>
    <col min="9482" max="9482" width="14.1640625" bestFit="1" customWidth="1"/>
    <col min="9483" max="9483" width="15.6640625" customWidth="1"/>
    <col min="9484" max="9484" width="13.83203125" bestFit="1" customWidth="1"/>
    <col min="9485" max="9485" width="26.5" customWidth="1"/>
    <col min="9486" max="9486" width="4.83203125" customWidth="1"/>
    <col min="9487" max="9487" width="168" customWidth="1"/>
    <col min="9729" max="9729" width="0.83203125" customWidth="1"/>
    <col min="9730" max="9730" width="57.83203125" customWidth="1"/>
    <col min="9731" max="9731" width="1.33203125" customWidth="1"/>
    <col min="9732" max="9732" width="10.5" bestFit="1" customWidth="1"/>
    <col min="9733" max="9733" width="11.6640625" bestFit="1" customWidth="1"/>
    <col min="9734" max="9734" width="13.83203125" bestFit="1" customWidth="1"/>
    <col min="9735" max="9735" width="10.5" bestFit="1" customWidth="1"/>
    <col min="9736" max="9736" width="13.33203125" customWidth="1"/>
    <col min="9737" max="9737" width="13.83203125" bestFit="1" customWidth="1"/>
    <col min="9738" max="9738" width="14.1640625" bestFit="1" customWidth="1"/>
    <col min="9739" max="9739" width="15.6640625" customWidth="1"/>
    <col min="9740" max="9740" width="13.83203125" bestFit="1" customWidth="1"/>
    <col min="9741" max="9741" width="26.5" customWidth="1"/>
    <col min="9742" max="9742" width="4.83203125" customWidth="1"/>
    <col min="9743" max="9743" width="168" customWidth="1"/>
    <col min="9985" max="9985" width="0.83203125" customWidth="1"/>
    <col min="9986" max="9986" width="57.83203125" customWidth="1"/>
    <col min="9987" max="9987" width="1.33203125" customWidth="1"/>
    <col min="9988" max="9988" width="10.5" bestFit="1" customWidth="1"/>
    <col min="9989" max="9989" width="11.6640625" bestFit="1" customWidth="1"/>
    <col min="9990" max="9990" width="13.83203125" bestFit="1" customWidth="1"/>
    <col min="9991" max="9991" width="10.5" bestFit="1" customWidth="1"/>
    <col min="9992" max="9992" width="13.33203125" customWidth="1"/>
    <col min="9993" max="9993" width="13.83203125" bestFit="1" customWidth="1"/>
    <col min="9994" max="9994" width="14.1640625" bestFit="1" customWidth="1"/>
    <col min="9995" max="9995" width="15.6640625" customWidth="1"/>
    <col min="9996" max="9996" width="13.83203125" bestFit="1" customWidth="1"/>
    <col min="9997" max="9997" width="26.5" customWidth="1"/>
    <col min="9998" max="9998" width="4.83203125" customWidth="1"/>
    <col min="9999" max="9999" width="168" customWidth="1"/>
    <col min="10241" max="10241" width="0.83203125" customWidth="1"/>
    <col min="10242" max="10242" width="57.83203125" customWidth="1"/>
    <col min="10243" max="10243" width="1.33203125" customWidth="1"/>
    <col min="10244" max="10244" width="10.5" bestFit="1" customWidth="1"/>
    <col min="10245" max="10245" width="11.6640625" bestFit="1" customWidth="1"/>
    <col min="10246" max="10246" width="13.83203125" bestFit="1" customWidth="1"/>
    <col min="10247" max="10247" width="10.5" bestFit="1" customWidth="1"/>
    <col min="10248" max="10248" width="13.33203125" customWidth="1"/>
    <col min="10249" max="10249" width="13.83203125" bestFit="1" customWidth="1"/>
    <col min="10250" max="10250" width="14.1640625" bestFit="1" customWidth="1"/>
    <col min="10251" max="10251" width="15.6640625" customWidth="1"/>
    <col min="10252" max="10252" width="13.83203125" bestFit="1" customWidth="1"/>
    <col min="10253" max="10253" width="26.5" customWidth="1"/>
    <col min="10254" max="10254" width="4.83203125" customWidth="1"/>
    <col min="10255" max="10255" width="168" customWidth="1"/>
    <col min="10497" max="10497" width="0.83203125" customWidth="1"/>
    <col min="10498" max="10498" width="57.83203125" customWidth="1"/>
    <col min="10499" max="10499" width="1.33203125" customWidth="1"/>
    <col min="10500" max="10500" width="10.5" bestFit="1" customWidth="1"/>
    <col min="10501" max="10501" width="11.6640625" bestFit="1" customWidth="1"/>
    <col min="10502" max="10502" width="13.83203125" bestFit="1" customWidth="1"/>
    <col min="10503" max="10503" width="10.5" bestFit="1" customWidth="1"/>
    <col min="10504" max="10504" width="13.33203125" customWidth="1"/>
    <col min="10505" max="10505" width="13.83203125" bestFit="1" customWidth="1"/>
    <col min="10506" max="10506" width="14.1640625" bestFit="1" customWidth="1"/>
    <col min="10507" max="10507" width="15.6640625" customWidth="1"/>
    <col min="10508" max="10508" width="13.83203125" bestFit="1" customWidth="1"/>
    <col min="10509" max="10509" width="26.5" customWidth="1"/>
    <col min="10510" max="10510" width="4.83203125" customWidth="1"/>
    <col min="10511" max="10511" width="168" customWidth="1"/>
    <col min="10753" max="10753" width="0.83203125" customWidth="1"/>
    <col min="10754" max="10754" width="57.83203125" customWidth="1"/>
    <col min="10755" max="10755" width="1.33203125" customWidth="1"/>
    <col min="10756" max="10756" width="10.5" bestFit="1" customWidth="1"/>
    <col min="10757" max="10757" width="11.6640625" bestFit="1" customWidth="1"/>
    <col min="10758" max="10758" width="13.83203125" bestFit="1" customWidth="1"/>
    <col min="10759" max="10759" width="10.5" bestFit="1" customWidth="1"/>
    <col min="10760" max="10760" width="13.33203125" customWidth="1"/>
    <col min="10761" max="10761" width="13.83203125" bestFit="1" customWidth="1"/>
    <col min="10762" max="10762" width="14.1640625" bestFit="1" customWidth="1"/>
    <col min="10763" max="10763" width="15.6640625" customWidth="1"/>
    <col min="10764" max="10764" width="13.83203125" bestFit="1" customWidth="1"/>
    <col min="10765" max="10765" width="26.5" customWidth="1"/>
    <col min="10766" max="10766" width="4.83203125" customWidth="1"/>
    <col min="10767" max="10767" width="168" customWidth="1"/>
    <col min="11009" max="11009" width="0.83203125" customWidth="1"/>
    <col min="11010" max="11010" width="57.83203125" customWidth="1"/>
    <col min="11011" max="11011" width="1.33203125" customWidth="1"/>
    <col min="11012" max="11012" width="10.5" bestFit="1" customWidth="1"/>
    <col min="11013" max="11013" width="11.6640625" bestFit="1" customWidth="1"/>
    <col min="11014" max="11014" width="13.83203125" bestFit="1" customWidth="1"/>
    <col min="11015" max="11015" width="10.5" bestFit="1" customWidth="1"/>
    <col min="11016" max="11016" width="13.33203125" customWidth="1"/>
    <col min="11017" max="11017" width="13.83203125" bestFit="1" customWidth="1"/>
    <col min="11018" max="11018" width="14.1640625" bestFit="1" customWidth="1"/>
    <col min="11019" max="11019" width="15.6640625" customWidth="1"/>
    <col min="11020" max="11020" width="13.83203125" bestFit="1" customWidth="1"/>
    <col min="11021" max="11021" width="26.5" customWidth="1"/>
    <col min="11022" max="11022" width="4.83203125" customWidth="1"/>
    <col min="11023" max="11023" width="168" customWidth="1"/>
    <col min="11265" max="11265" width="0.83203125" customWidth="1"/>
    <col min="11266" max="11266" width="57.83203125" customWidth="1"/>
    <col min="11267" max="11267" width="1.33203125" customWidth="1"/>
    <col min="11268" max="11268" width="10.5" bestFit="1" customWidth="1"/>
    <col min="11269" max="11269" width="11.6640625" bestFit="1" customWidth="1"/>
    <col min="11270" max="11270" width="13.83203125" bestFit="1" customWidth="1"/>
    <col min="11271" max="11271" width="10.5" bestFit="1" customWidth="1"/>
    <col min="11272" max="11272" width="13.33203125" customWidth="1"/>
    <col min="11273" max="11273" width="13.83203125" bestFit="1" customWidth="1"/>
    <col min="11274" max="11274" width="14.1640625" bestFit="1" customWidth="1"/>
    <col min="11275" max="11275" width="15.6640625" customWidth="1"/>
    <col min="11276" max="11276" width="13.83203125" bestFit="1" customWidth="1"/>
    <col min="11277" max="11277" width="26.5" customWidth="1"/>
    <col min="11278" max="11278" width="4.83203125" customWidth="1"/>
    <col min="11279" max="11279" width="168" customWidth="1"/>
    <col min="11521" max="11521" width="0.83203125" customWidth="1"/>
    <col min="11522" max="11522" width="57.83203125" customWidth="1"/>
    <col min="11523" max="11523" width="1.33203125" customWidth="1"/>
    <col min="11524" max="11524" width="10.5" bestFit="1" customWidth="1"/>
    <col min="11525" max="11525" width="11.6640625" bestFit="1" customWidth="1"/>
    <col min="11526" max="11526" width="13.83203125" bestFit="1" customWidth="1"/>
    <col min="11527" max="11527" width="10.5" bestFit="1" customWidth="1"/>
    <col min="11528" max="11528" width="13.33203125" customWidth="1"/>
    <col min="11529" max="11529" width="13.83203125" bestFit="1" customWidth="1"/>
    <col min="11530" max="11530" width="14.1640625" bestFit="1" customWidth="1"/>
    <col min="11531" max="11531" width="15.6640625" customWidth="1"/>
    <col min="11532" max="11532" width="13.83203125" bestFit="1" customWidth="1"/>
    <col min="11533" max="11533" width="26.5" customWidth="1"/>
    <col min="11534" max="11534" width="4.83203125" customWidth="1"/>
    <col min="11535" max="11535" width="168" customWidth="1"/>
    <col min="11777" max="11777" width="0.83203125" customWidth="1"/>
    <col min="11778" max="11778" width="57.83203125" customWidth="1"/>
    <col min="11779" max="11779" width="1.33203125" customWidth="1"/>
    <col min="11780" max="11780" width="10.5" bestFit="1" customWidth="1"/>
    <col min="11781" max="11781" width="11.6640625" bestFit="1" customWidth="1"/>
    <col min="11782" max="11782" width="13.83203125" bestFit="1" customWidth="1"/>
    <col min="11783" max="11783" width="10.5" bestFit="1" customWidth="1"/>
    <col min="11784" max="11784" width="13.33203125" customWidth="1"/>
    <col min="11785" max="11785" width="13.83203125" bestFit="1" customWidth="1"/>
    <col min="11786" max="11786" width="14.1640625" bestFit="1" customWidth="1"/>
    <col min="11787" max="11787" width="15.6640625" customWidth="1"/>
    <col min="11788" max="11788" width="13.83203125" bestFit="1" customWidth="1"/>
    <col min="11789" max="11789" width="26.5" customWidth="1"/>
    <col min="11790" max="11790" width="4.83203125" customWidth="1"/>
    <col min="11791" max="11791" width="168" customWidth="1"/>
    <col min="12033" max="12033" width="0.83203125" customWidth="1"/>
    <col min="12034" max="12034" width="57.83203125" customWidth="1"/>
    <col min="12035" max="12035" width="1.33203125" customWidth="1"/>
    <col min="12036" max="12036" width="10.5" bestFit="1" customWidth="1"/>
    <col min="12037" max="12037" width="11.6640625" bestFit="1" customWidth="1"/>
    <col min="12038" max="12038" width="13.83203125" bestFit="1" customWidth="1"/>
    <col min="12039" max="12039" width="10.5" bestFit="1" customWidth="1"/>
    <col min="12040" max="12040" width="13.33203125" customWidth="1"/>
    <col min="12041" max="12041" width="13.83203125" bestFit="1" customWidth="1"/>
    <col min="12042" max="12042" width="14.1640625" bestFit="1" customWidth="1"/>
    <col min="12043" max="12043" width="15.6640625" customWidth="1"/>
    <col min="12044" max="12044" width="13.83203125" bestFit="1" customWidth="1"/>
    <col min="12045" max="12045" width="26.5" customWidth="1"/>
    <col min="12046" max="12046" width="4.83203125" customWidth="1"/>
    <col min="12047" max="12047" width="168" customWidth="1"/>
    <col min="12289" max="12289" width="0.83203125" customWidth="1"/>
    <col min="12290" max="12290" width="57.83203125" customWidth="1"/>
    <col min="12291" max="12291" width="1.33203125" customWidth="1"/>
    <col min="12292" max="12292" width="10.5" bestFit="1" customWidth="1"/>
    <col min="12293" max="12293" width="11.6640625" bestFit="1" customWidth="1"/>
    <col min="12294" max="12294" width="13.83203125" bestFit="1" customWidth="1"/>
    <col min="12295" max="12295" width="10.5" bestFit="1" customWidth="1"/>
    <col min="12296" max="12296" width="13.33203125" customWidth="1"/>
    <col min="12297" max="12297" width="13.83203125" bestFit="1" customWidth="1"/>
    <col min="12298" max="12298" width="14.1640625" bestFit="1" customWidth="1"/>
    <col min="12299" max="12299" width="15.6640625" customWidth="1"/>
    <col min="12300" max="12300" width="13.83203125" bestFit="1" customWidth="1"/>
    <col min="12301" max="12301" width="26.5" customWidth="1"/>
    <col min="12302" max="12302" width="4.83203125" customWidth="1"/>
    <col min="12303" max="12303" width="168" customWidth="1"/>
    <col min="12545" max="12545" width="0.83203125" customWidth="1"/>
    <col min="12546" max="12546" width="57.83203125" customWidth="1"/>
    <col min="12547" max="12547" width="1.33203125" customWidth="1"/>
    <col min="12548" max="12548" width="10.5" bestFit="1" customWidth="1"/>
    <col min="12549" max="12549" width="11.6640625" bestFit="1" customWidth="1"/>
    <col min="12550" max="12550" width="13.83203125" bestFit="1" customWidth="1"/>
    <col min="12551" max="12551" width="10.5" bestFit="1" customWidth="1"/>
    <col min="12552" max="12552" width="13.33203125" customWidth="1"/>
    <col min="12553" max="12553" width="13.83203125" bestFit="1" customWidth="1"/>
    <col min="12554" max="12554" width="14.1640625" bestFit="1" customWidth="1"/>
    <col min="12555" max="12555" width="15.6640625" customWidth="1"/>
    <col min="12556" max="12556" width="13.83203125" bestFit="1" customWidth="1"/>
    <col min="12557" max="12557" width="26.5" customWidth="1"/>
    <col min="12558" max="12558" width="4.83203125" customWidth="1"/>
    <col min="12559" max="12559" width="168" customWidth="1"/>
    <col min="12801" max="12801" width="0.83203125" customWidth="1"/>
    <col min="12802" max="12802" width="57.83203125" customWidth="1"/>
    <col min="12803" max="12803" width="1.33203125" customWidth="1"/>
    <col min="12804" max="12804" width="10.5" bestFit="1" customWidth="1"/>
    <col min="12805" max="12805" width="11.6640625" bestFit="1" customWidth="1"/>
    <col min="12806" max="12806" width="13.83203125" bestFit="1" customWidth="1"/>
    <col min="12807" max="12807" width="10.5" bestFit="1" customWidth="1"/>
    <col min="12808" max="12808" width="13.33203125" customWidth="1"/>
    <col min="12809" max="12809" width="13.83203125" bestFit="1" customWidth="1"/>
    <col min="12810" max="12810" width="14.1640625" bestFit="1" customWidth="1"/>
    <col min="12811" max="12811" width="15.6640625" customWidth="1"/>
    <col min="12812" max="12812" width="13.83203125" bestFit="1" customWidth="1"/>
    <col min="12813" max="12813" width="26.5" customWidth="1"/>
    <col min="12814" max="12814" width="4.83203125" customWidth="1"/>
    <col min="12815" max="12815" width="168" customWidth="1"/>
    <col min="13057" max="13057" width="0.83203125" customWidth="1"/>
    <col min="13058" max="13058" width="57.83203125" customWidth="1"/>
    <col min="13059" max="13059" width="1.33203125" customWidth="1"/>
    <col min="13060" max="13060" width="10.5" bestFit="1" customWidth="1"/>
    <col min="13061" max="13061" width="11.6640625" bestFit="1" customWidth="1"/>
    <col min="13062" max="13062" width="13.83203125" bestFit="1" customWidth="1"/>
    <col min="13063" max="13063" width="10.5" bestFit="1" customWidth="1"/>
    <col min="13064" max="13064" width="13.33203125" customWidth="1"/>
    <col min="13065" max="13065" width="13.83203125" bestFit="1" customWidth="1"/>
    <col min="13066" max="13066" width="14.1640625" bestFit="1" customWidth="1"/>
    <col min="13067" max="13067" width="15.6640625" customWidth="1"/>
    <col min="13068" max="13068" width="13.83203125" bestFit="1" customWidth="1"/>
    <col min="13069" max="13069" width="26.5" customWidth="1"/>
    <col min="13070" max="13070" width="4.83203125" customWidth="1"/>
    <col min="13071" max="13071" width="168" customWidth="1"/>
    <col min="13313" max="13313" width="0.83203125" customWidth="1"/>
    <col min="13314" max="13314" width="57.83203125" customWidth="1"/>
    <col min="13315" max="13315" width="1.33203125" customWidth="1"/>
    <col min="13316" max="13316" width="10.5" bestFit="1" customWidth="1"/>
    <col min="13317" max="13317" width="11.6640625" bestFit="1" customWidth="1"/>
    <col min="13318" max="13318" width="13.83203125" bestFit="1" customWidth="1"/>
    <col min="13319" max="13319" width="10.5" bestFit="1" customWidth="1"/>
    <col min="13320" max="13320" width="13.33203125" customWidth="1"/>
    <col min="13321" max="13321" width="13.83203125" bestFit="1" customWidth="1"/>
    <col min="13322" max="13322" width="14.1640625" bestFit="1" customWidth="1"/>
    <col min="13323" max="13323" width="15.6640625" customWidth="1"/>
    <col min="13324" max="13324" width="13.83203125" bestFit="1" customWidth="1"/>
    <col min="13325" max="13325" width="26.5" customWidth="1"/>
    <col min="13326" max="13326" width="4.83203125" customWidth="1"/>
    <col min="13327" max="13327" width="168" customWidth="1"/>
    <col min="13569" max="13569" width="0.83203125" customWidth="1"/>
    <col min="13570" max="13570" width="57.83203125" customWidth="1"/>
    <col min="13571" max="13571" width="1.33203125" customWidth="1"/>
    <col min="13572" max="13572" width="10.5" bestFit="1" customWidth="1"/>
    <col min="13573" max="13573" width="11.6640625" bestFit="1" customWidth="1"/>
    <col min="13574" max="13574" width="13.83203125" bestFit="1" customWidth="1"/>
    <col min="13575" max="13575" width="10.5" bestFit="1" customWidth="1"/>
    <col min="13576" max="13576" width="13.33203125" customWidth="1"/>
    <col min="13577" max="13577" width="13.83203125" bestFit="1" customWidth="1"/>
    <col min="13578" max="13578" width="14.1640625" bestFit="1" customWidth="1"/>
    <col min="13579" max="13579" width="15.6640625" customWidth="1"/>
    <col min="13580" max="13580" width="13.83203125" bestFit="1" customWidth="1"/>
    <col min="13581" max="13581" width="26.5" customWidth="1"/>
    <col min="13582" max="13582" width="4.83203125" customWidth="1"/>
    <col min="13583" max="13583" width="168" customWidth="1"/>
    <col min="13825" max="13825" width="0.83203125" customWidth="1"/>
    <col min="13826" max="13826" width="57.83203125" customWidth="1"/>
    <col min="13827" max="13827" width="1.33203125" customWidth="1"/>
    <col min="13828" max="13828" width="10.5" bestFit="1" customWidth="1"/>
    <col min="13829" max="13829" width="11.6640625" bestFit="1" customWidth="1"/>
    <col min="13830" max="13830" width="13.83203125" bestFit="1" customWidth="1"/>
    <col min="13831" max="13831" width="10.5" bestFit="1" customWidth="1"/>
    <col min="13832" max="13832" width="13.33203125" customWidth="1"/>
    <col min="13833" max="13833" width="13.83203125" bestFit="1" customWidth="1"/>
    <col min="13834" max="13834" width="14.1640625" bestFit="1" customWidth="1"/>
    <col min="13835" max="13835" width="15.6640625" customWidth="1"/>
    <col min="13836" max="13836" width="13.83203125" bestFit="1" customWidth="1"/>
    <col min="13837" max="13837" width="26.5" customWidth="1"/>
    <col min="13838" max="13838" width="4.83203125" customWidth="1"/>
    <col min="13839" max="13839" width="168" customWidth="1"/>
    <col min="14081" max="14081" width="0.83203125" customWidth="1"/>
    <col min="14082" max="14082" width="57.83203125" customWidth="1"/>
    <col min="14083" max="14083" width="1.33203125" customWidth="1"/>
    <col min="14084" max="14084" width="10.5" bestFit="1" customWidth="1"/>
    <col min="14085" max="14085" width="11.6640625" bestFit="1" customWidth="1"/>
    <col min="14086" max="14086" width="13.83203125" bestFit="1" customWidth="1"/>
    <col min="14087" max="14087" width="10.5" bestFit="1" customWidth="1"/>
    <col min="14088" max="14088" width="13.33203125" customWidth="1"/>
    <col min="14089" max="14089" width="13.83203125" bestFit="1" customWidth="1"/>
    <col min="14090" max="14090" width="14.1640625" bestFit="1" customWidth="1"/>
    <col min="14091" max="14091" width="15.6640625" customWidth="1"/>
    <col min="14092" max="14092" width="13.83203125" bestFit="1" customWidth="1"/>
    <col min="14093" max="14093" width="26.5" customWidth="1"/>
    <col min="14094" max="14094" width="4.83203125" customWidth="1"/>
    <col min="14095" max="14095" width="168" customWidth="1"/>
    <col min="14337" max="14337" width="0.83203125" customWidth="1"/>
    <col min="14338" max="14338" width="57.83203125" customWidth="1"/>
    <col min="14339" max="14339" width="1.33203125" customWidth="1"/>
    <col min="14340" max="14340" width="10.5" bestFit="1" customWidth="1"/>
    <col min="14341" max="14341" width="11.6640625" bestFit="1" customWidth="1"/>
    <col min="14342" max="14342" width="13.83203125" bestFit="1" customWidth="1"/>
    <col min="14343" max="14343" width="10.5" bestFit="1" customWidth="1"/>
    <col min="14344" max="14344" width="13.33203125" customWidth="1"/>
    <col min="14345" max="14345" width="13.83203125" bestFit="1" customWidth="1"/>
    <col min="14346" max="14346" width="14.1640625" bestFit="1" customWidth="1"/>
    <col min="14347" max="14347" width="15.6640625" customWidth="1"/>
    <col min="14348" max="14348" width="13.83203125" bestFit="1" customWidth="1"/>
    <col min="14349" max="14349" width="26.5" customWidth="1"/>
    <col min="14350" max="14350" width="4.83203125" customWidth="1"/>
    <col min="14351" max="14351" width="168" customWidth="1"/>
    <col min="14593" max="14593" width="0.83203125" customWidth="1"/>
    <col min="14594" max="14594" width="57.83203125" customWidth="1"/>
    <col min="14595" max="14595" width="1.33203125" customWidth="1"/>
    <col min="14596" max="14596" width="10.5" bestFit="1" customWidth="1"/>
    <col min="14597" max="14597" width="11.6640625" bestFit="1" customWidth="1"/>
    <col min="14598" max="14598" width="13.83203125" bestFit="1" customWidth="1"/>
    <col min="14599" max="14599" width="10.5" bestFit="1" customWidth="1"/>
    <col min="14600" max="14600" width="13.33203125" customWidth="1"/>
    <col min="14601" max="14601" width="13.83203125" bestFit="1" customWidth="1"/>
    <col min="14602" max="14602" width="14.1640625" bestFit="1" customWidth="1"/>
    <col min="14603" max="14603" width="15.6640625" customWidth="1"/>
    <col min="14604" max="14604" width="13.83203125" bestFit="1" customWidth="1"/>
    <col min="14605" max="14605" width="26.5" customWidth="1"/>
    <col min="14606" max="14606" width="4.83203125" customWidth="1"/>
    <col min="14607" max="14607" width="168" customWidth="1"/>
    <col min="14849" max="14849" width="0.83203125" customWidth="1"/>
    <col min="14850" max="14850" width="57.83203125" customWidth="1"/>
    <col min="14851" max="14851" width="1.33203125" customWidth="1"/>
    <col min="14852" max="14852" width="10.5" bestFit="1" customWidth="1"/>
    <col min="14853" max="14853" width="11.6640625" bestFit="1" customWidth="1"/>
    <col min="14854" max="14854" width="13.83203125" bestFit="1" customWidth="1"/>
    <col min="14855" max="14855" width="10.5" bestFit="1" customWidth="1"/>
    <col min="14856" max="14856" width="13.33203125" customWidth="1"/>
    <col min="14857" max="14857" width="13.83203125" bestFit="1" customWidth="1"/>
    <col min="14858" max="14858" width="14.1640625" bestFit="1" customWidth="1"/>
    <col min="14859" max="14859" width="15.6640625" customWidth="1"/>
    <col min="14860" max="14860" width="13.83203125" bestFit="1" customWidth="1"/>
    <col min="14861" max="14861" width="26.5" customWidth="1"/>
    <col min="14862" max="14862" width="4.83203125" customWidth="1"/>
    <col min="14863" max="14863" width="168" customWidth="1"/>
    <col min="15105" max="15105" width="0.83203125" customWidth="1"/>
    <col min="15106" max="15106" width="57.83203125" customWidth="1"/>
    <col min="15107" max="15107" width="1.33203125" customWidth="1"/>
    <col min="15108" max="15108" width="10.5" bestFit="1" customWidth="1"/>
    <col min="15109" max="15109" width="11.6640625" bestFit="1" customWidth="1"/>
    <col min="15110" max="15110" width="13.83203125" bestFit="1" customWidth="1"/>
    <col min="15111" max="15111" width="10.5" bestFit="1" customWidth="1"/>
    <col min="15112" max="15112" width="13.33203125" customWidth="1"/>
    <col min="15113" max="15113" width="13.83203125" bestFit="1" customWidth="1"/>
    <col min="15114" max="15114" width="14.1640625" bestFit="1" customWidth="1"/>
    <col min="15115" max="15115" width="15.6640625" customWidth="1"/>
    <col min="15116" max="15116" width="13.83203125" bestFit="1" customWidth="1"/>
    <col min="15117" max="15117" width="26.5" customWidth="1"/>
    <col min="15118" max="15118" width="4.83203125" customWidth="1"/>
    <col min="15119" max="15119" width="168" customWidth="1"/>
    <col min="15361" max="15361" width="0.83203125" customWidth="1"/>
    <col min="15362" max="15362" width="57.83203125" customWidth="1"/>
    <col min="15363" max="15363" width="1.33203125" customWidth="1"/>
    <col min="15364" max="15364" width="10.5" bestFit="1" customWidth="1"/>
    <col min="15365" max="15365" width="11.6640625" bestFit="1" customWidth="1"/>
    <col min="15366" max="15366" width="13.83203125" bestFit="1" customWidth="1"/>
    <col min="15367" max="15367" width="10.5" bestFit="1" customWidth="1"/>
    <col min="15368" max="15368" width="13.33203125" customWidth="1"/>
    <col min="15369" max="15369" width="13.83203125" bestFit="1" customWidth="1"/>
    <col min="15370" max="15370" width="14.1640625" bestFit="1" customWidth="1"/>
    <col min="15371" max="15371" width="15.6640625" customWidth="1"/>
    <col min="15372" max="15372" width="13.83203125" bestFit="1" customWidth="1"/>
    <col min="15373" max="15373" width="26.5" customWidth="1"/>
    <col min="15374" max="15374" width="4.83203125" customWidth="1"/>
    <col min="15375" max="15375" width="168" customWidth="1"/>
    <col min="15617" max="15617" width="0.83203125" customWidth="1"/>
    <col min="15618" max="15618" width="57.83203125" customWidth="1"/>
    <col min="15619" max="15619" width="1.33203125" customWidth="1"/>
    <col min="15620" max="15620" width="10.5" bestFit="1" customWidth="1"/>
    <col min="15621" max="15621" width="11.6640625" bestFit="1" customWidth="1"/>
    <col min="15622" max="15622" width="13.83203125" bestFit="1" customWidth="1"/>
    <col min="15623" max="15623" width="10.5" bestFit="1" customWidth="1"/>
    <col min="15624" max="15624" width="13.33203125" customWidth="1"/>
    <col min="15625" max="15625" width="13.83203125" bestFit="1" customWidth="1"/>
    <col min="15626" max="15626" width="14.1640625" bestFit="1" customWidth="1"/>
    <col min="15627" max="15627" width="15.6640625" customWidth="1"/>
    <col min="15628" max="15628" width="13.83203125" bestFit="1" customWidth="1"/>
    <col min="15629" max="15629" width="26.5" customWidth="1"/>
    <col min="15630" max="15630" width="4.83203125" customWidth="1"/>
    <col min="15631" max="15631" width="168" customWidth="1"/>
    <col min="15873" max="15873" width="0.83203125" customWidth="1"/>
    <col min="15874" max="15874" width="57.83203125" customWidth="1"/>
    <col min="15875" max="15875" width="1.33203125" customWidth="1"/>
    <col min="15876" max="15876" width="10.5" bestFit="1" customWidth="1"/>
    <col min="15877" max="15877" width="11.6640625" bestFit="1" customWidth="1"/>
    <col min="15878" max="15878" width="13.83203125" bestFit="1" customWidth="1"/>
    <col min="15879" max="15879" width="10.5" bestFit="1" customWidth="1"/>
    <col min="15880" max="15880" width="13.33203125" customWidth="1"/>
    <col min="15881" max="15881" width="13.83203125" bestFit="1" customWidth="1"/>
    <col min="15882" max="15882" width="14.1640625" bestFit="1" customWidth="1"/>
    <col min="15883" max="15883" width="15.6640625" customWidth="1"/>
    <col min="15884" max="15884" width="13.83203125" bestFit="1" customWidth="1"/>
    <col min="15885" max="15885" width="26.5" customWidth="1"/>
    <col min="15886" max="15886" width="4.83203125" customWidth="1"/>
    <col min="15887" max="15887" width="168" customWidth="1"/>
    <col min="16129" max="16129" width="0.83203125" customWidth="1"/>
    <col min="16130" max="16130" width="57.83203125" customWidth="1"/>
    <col min="16131" max="16131" width="1.33203125" customWidth="1"/>
    <col min="16132" max="16132" width="10.5" bestFit="1" customWidth="1"/>
    <col min="16133" max="16133" width="11.6640625" bestFit="1" customWidth="1"/>
    <col min="16134" max="16134" width="13.83203125" bestFit="1" customWidth="1"/>
    <col min="16135" max="16135" width="10.5" bestFit="1" customWidth="1"/>
    <col min="16136" max="16136" width="13.33203125" customWidth="1"/>
    <col min="16137" max="16137" width="13.83203125" bestFit="1" customWidth="1"/>
    <col min="16138" max="16138" width="14.1640625" bestFit="1" customWidth="1"/>
    <col min="16139" max="16139" width="15.6640625" customWidth="1"/>
    <col min="16140" max="16140" width="13.83203125" bestFit="1" customWidth="1"/>
    <col min="16141" max="16141" width="26.5" customWidth="1"/>
    <col min="16142" max="16142" width="4.83203125" customWidth="1"/>
    <col min="16143" max="16143" width="168" customWidth="1"/>
  </cols>
  <sheetData>
    <row r="1" spans="2:19" ht="30" customHeight="1">
      <c r="B1" s="21" t="s">
        <v>117</v>
      </c>
      <c r="C1" s="20"/>
      <c r="D1" s="19"/>
      <c r="E1" s="19"/>
      <c r="F1" s="19"/>
      <c r="G1" s="19"/>
      <c r="H1" s="22"/>
      <c r="I1" s="20"/>
      <c r="J1" s="20"/>
      <c r="K1" s="20"/>
      <c r="L1" s="20"/>
      <c r="M1" s="20"/>
      <c r="N1" s="20"/>
    </row>
    <row r="2" spans="2:19" ht="21">
      <c r="B2" s="15" t="s">
        <v>43</v>
      </c>
      <c r="C2" s="20"/>
      <c r="D2" s="19"/>
      <c r="E2" s="19"/>
      <c r="F2" s="19"/>
      <c r="G2" s="19"/>
      <c r="H2" s="22"/>
      <c r="I2" s="20"/>
      <c r="J2" s="20"/>
      <c r="K2" s="20"/>
      <c r="L2" s="20"/>
      <c r="M2" s="20"/>
      <c r="N2" s="20"/>
    </row>
    <row r="3" spans="2:19" ht="9.75" customHeight="1" thickBot="1">
      <c r="B3" s="15"/>
      <c r="C3" s="20"/>
      <c r="D3" s="19"/>
      <c r="E3" s="19"/>
      <c r="F3" s="19"/>
      <c r="G3" s="19"/>
      <c r="H3" s="22"/>
      <c r="I3" s="20"/>
      <c r="J3" s="20"/>
      <c r="K3" s="20"/>
      <c r="L3" s="20"/>
      <c r="M3" s="20"/>
      <c r="N3" s="20"/>
      <c r="Q3" s="8"/>
    </row>
    <row r="4" spans="2:19" ht="22" thickBot="1">
      <c r="B4" s="232" t="s">
        <v>52</v>
      </c>
      <c r="C4" s="233"/>
      <c r="D4" s="234" t="s">
        <v>2</v>
      </c>
      <c r="E4" s="235" t="s">
        <v>224</v>
      </c>
      <c r="F4" s="235"/>
      <c r="G4" s="235"/>
      <c r="H4" s="236" t="s">
        <v>121</v>
      </c>
      <c r="I4" s="237"/>
      <c r="J4" s="238"/>
      <c r="K4" s="238"/>
      <c r="L4" s="239" t="s">
        <v>110</v>
      </c>
      <c r="M4" s="238"/>
      <c r="N4" s="240" t="s">
        <v>45</v>
      </c>
      <c r="P4" t="s">
        <v>103</v>
      </c>
    </row>
    <row r="5" spans="2:19" ht="21" customHeight="1" thickBot="1">
      <c r="B5" s="241"/>
      <c r="C5" s="242"/>
      <c r="D5" s="243" t="s">
        <v>3</v>
      </c>
      <c r="E5" s="243" t="s">
        <v>44</v>
      </c>
      <c r="F5" s="243" t="s">
        <v>45</v>
      </c>
      <c r="G5" s="243" t="s">
        <v>45</v>
      </c>
      <c r="H5" s="243" t="s">
        <v>45</v>
      </c>
      <c r="I5" s="243" t="s">
        <v>45</v>
      </c>
      <c r="J5" s="243" t="s">
        <v>45</v>
      </c>
      <c r="K5" s="243" t="s">
        <v>23</v>
      </c>
      <c r="L5" s="244" t="s">
        <v>3</v>
      </c>
      <c r="M5" s="244" t="s">
        <v>44</v>
      </c>
      <c r="N5" s="244" t="s">
        <v>223</v>
      </c>
    </row>
    <row r="6" spans="2:19" ht="21" customHeight="1">
      <c r="B6" s="17"/>
      <c r="C6" s="29"/>
      <c r="D6" s="65" t="s">
        <v>2</v>
      </c>
      <c r="E6" s="65" t="s">
        <v>2</v>
      </c>
      <c r="F6" s="24" t="s">
        <v>2</v>
      </c>
      <c r="G6" s="65" t="s">
        <v>2</v>
      </c>
      <c r="H6" s="65" t="s">
        <v>2</v>
      </c>
      <c r="I6" s="24" t="s">
        <v>2</v>
      </c>
      <c r="J6" s="54" t="s">
        <v>2</v>
      </c>
      <c r="K6" s="54"/>
      <c r="L6" s="88" t="s">
        <v>2</v>
      </c>
      <c r="M6" s="24" t="s">
        <v>2</v>
      </c>
      <c r="N6" s="25" t="s">
        <v>2</v>
      </c>
      <c r="O6" s="2"/>
      <c r="Q6" s="2"/>
      <c r="R6" s="2"/>
      <c r="S6" s="2"/>
    </row>
    <row r="7" spans="2:19" s="56" customFormat="1" ht="21" customHeight="1">
      <c r="B7" s="17" t="s">
        <v>157</v>
      </c>
      <c r="C7" s="29"/>
      <c r="D7" s="65">
        <v>105</v>
      </c>
      <c r="E7" s="65">
        <v>150</v>
      </c>
      <c r="F7" s="24">
        <f>+D7-E7</f>
        <v>-45</v>
      </c>
      <c r="G7" s="65"/>
      <c r="H7" s="65"/>
      <c r="I7" s="24"/>
      <c r="J7" s="54"/>
      <c r="K7" s="54"/>
      <c r="L7" s="88"/>
      <c r="M7" s="24"/>
      <c r="N7" s="25">
        <f>+D7-L7</f>
        <v>105</v>
      </c>
      <c r="O7" s="2"/>
      <c r="Q7" s="2"/>
      <c r="R7" s="2"/>
      <c r="S7" s="2"/>
    </row>
    <row r="8" spans="2:19" s="56" customFormat="1" ht="21" customHeight="1">
      <c r="B8" s="17"/>
      <c r="C8" s="29"/>
      <c r="D8" s="65"/>
      <c r="E8" s="65"/>
      <c r="F8" s="24"/>
      <c r="G8" s="65"/>
      <c r="H8" s="65"/>
      <c r="I8" s="24"/>
      <c r="J8" s="54"/>
      <c r="K8" s="54"/>
      <c r="L8" s="88"/>
      <c r="M8" s="24"/>
      <c r="N8" s="25"/>
      <c r="O8" s="2"/>
      <c r="Q8" s="2"/>
      <c r="R8" s="2"/>
      <c r="S8" s="2"/>
    </row>
    <row r="9" spans="2:19" s="56" customFormat="1" ht="21" customHeight="1">
      <c r="B9" s="17" t="s">
        <v>225</v>
      </c>
      <c r="C9" s="29"/>
      <c r="D9" s="65"/>
      <c r="E9" s="65"/>
      <c r="F9" s="24"/>
      <c r="G9" s="65"/>
      <c r="H9" s="65"/>
      <c r="I9" s="24"/>
      <c r="J9" s="54"/>
      <c r="K9" s="54"/>
      <c r="L9" s="88"/>
      <c r="M9" s="24"/>
      <c r="N9" s="25"/>
      <c r="O9" s="2"/>
      <c r="Q9" s="2"/>
      <c r="R9" s="2"/>
      <c r="S9" s="2"/>
    </row>
    <row r="10" spans="2:19" ht="21" customHeight="1">
      <c r="B10" s="17" t="s">
        <v>222</v>
      </c>
      <c r="C10" s="29"/>
      <c r="D10" s="65" t="s">
        <v>2</v>
      </c>
      <c r="E10" s="65" t="s">
        <v>2</v>
      </c>
      <c r="F10" s="24" t="s">
        <v>2</v>
      </c>
      <c r="G10" s="65" t="s">
        <v>2</v>
      </c>
      <c r="H10" s="65" t="s">
        <v>2</v>
      </c>
      <c r="I10" s="24" t="s">
        <v>2</v>
      </c>
      <c r="J10" s="54" t="s">
        <v>2</v>
      </c>
      <c r="K10" s="54"/>
      <c r="L10" s="88" t="s">
        <v>2</v>
      </c>
      <c r="M10" s="24" t="s">
        <v>2</v>
      </c>
      <c r="N10" s="25" t="s">
        <v>2</v>
      </c>
      <c r="O10" s="2"/>
      <c r="Q10" s="2"/>
      <c r="R10" s="2"/>
      <c r="S10" s="2"/>
    </row>
    <row r="11" spans="2:19" s="56" customFormat="1" ht="21" customHeight="1">
      <c r="B11" s="18" t="s">
        <v>24</v>
      </c>
      <c r="C11" s="29"/>
      <c r="D11" s="65">
        <v>4684.8464727602905</v>
      </c>
      <c r="E11" s="65">
        <v>2750</v>
      </c>
      <c r="F11" s="24">
        <f>+D11-E11</f>
        <v>1934.8464727602905</v>
      </c>
      <c r="G11" s="65">
        <v>0</v>
      </c>
      <c r="H11" s="65" t="e">
        <v>#REF!</v>
      </c>
      <c r="I11" s="24" t="e">
        <v>#REF!</v>
      </c>
      <c r="J11" s="54">
        <v>4438</v>
      </c>
      <c r="K11" s="54">
        <v>1.5296147261124677</v>
      </c>
      <c r="L11" s="88">
        <v>2973</v>
      </c>
      <c r="M11" s="24">
        <f>2919+969+760</f>
        <v>4648</v>
      </c>
      <c r="N11" s="25">
        <f t="shared" ref="N11:N12" si="0">+D11-L11</f>
        <v>1711.8464727602905</v>
      </c>
      <c r="O11" s="2"/>
      <c r="Q11" s="2"/>
      <c r="R11" s="2"/>
      <c r="S11" s="2"/>
    </row>
    <row r="12" spans="2:19" s="2" customFormat="1" ht="21" customHeight="1">
      <c r="B12" s="18" t="s">
        <v>226</v>
      </c>
      <c r="C12" s="29"/>
      <c r="E12" s="65">
        <v>10</v>
      </c>
      <c r="F12" s="25">
        <f>+D12-E12</f>
        <v>-10</v>
      </c>
      <c r="K12" s="91" t="s">
        <v>2</v>
      </c>
      <c r="L12" s="88">
        <v>131</v>
      </c>
      <c r="M12" s="24">
        <v>10</v>
      </c>
      <c r="N12" s="25">
        <f t="shared" si="0"/>
        <v>-131</v>
      </c>
      <c r="P12" s="56"/>
    </row>
    <row r="13" spans="2:19" s="2" customFormat="1" ht="21" customHeight="1">
      <c r="B13" s="18"/>
      <c r="C13" s="29"/>
      <c r="F13" s="25" t="s">
        <v>2</v>
      </c>
      <c r="K13" s="279"/>
      <c r="M13" s="24"/>
      <c r="N13" s="25"/>
      <c r="P13" s="56"/>
    </row>
    <row r="14" spans="2:19" s="2" customFormat="1" ht="21" customHeight="1">
      <c r="B14" s="17" t="s">
        <v>116</v>
      </c>
      <c r="C14" s="29"/>
      <c r="D14" s="65" t="s">
        <v>2</v>
      </c>
      <c r="E14" s="65" t="s">
        <v>2</v>
      </c>
      <c r="F14" s="24" t="s">
        <v>2</v>
      </c>
      <c r="G14" s="65" t="s">
        <v>2</v>
      </c>
      <c r="H14" s="65" t="s">
        <v>2</v>
      </c>
      <c r="I14" s="24" t="s">
        <v>2</v>
      </c>
      <c r="J14" s="54" t="s">
        <v>2</v>
      </c>
      <c r="K14" s="54"/>
      <c r="L14" s="88" t="s">
        <v>2</v>
      </c>
      <c r="M14" s="24" t="s">
        <v>2</v>
      </c>
      <c r="N14" s="25" t="s">
        <v>2</v>
      </c>
      <c r="P14"/>
    </row>
    <row r="15" spans="2:19" ht="21" customHeight="1">
      <c r="B15" s="26" t="s">
        <v>258</v>
      </c>
      <c r="C15" s="29"/>
      <c r="D15" s="65">
        <v>1130.4998595641646</v>
      </c>
      <c r="E15" s="65">
        <v>1580</v>
      </c>
      <c r="F15" s="24">
        <f t="shared" ref="F15:F18" si="1">+D15-E15</f>
        <v>-449.50014043583542</v>
      </c>
      <c r="G15" s="65">
        <v>7.3464285714285715</v>
      </c>
      <c r="H15" s="65">
        <v>7.5</v>
      </c>
      <c r="I15" s="24">
        <v>-0.15357142857142847</v>
      </c>
      <c r="J15" s="54">
        <v>-0.26535714285714285</v>
      </c>
      <c r="K15" s="54">
        <v>-0.26535714285714285</v>
      </c>
      <c r="L15" s="88">
        <v>7.3464285714285715</v>
      </c>
      <c r="M15" s="24">
        <v>10</v>
      </c>
      <c r="N15" s="25">
        <f t="shared" ref="N15:N18" si="2">+D15-L15</f>
        <v>1123.153430992736</v>
      </c>
    </row>
    <row r="16" spans="2:19" s="4" customFormat="1" ht="21" customHeight="1">
      <c r="B16" s="26" t="s">
        <v>15</v>
      </c>
      <c r="C16" s="29"/>
      <c r="D16" s="65">
        <v>716.3069152542372</v>
      </c>
      <c r="E16" s="65">
        <v>950</v>
      </c>
      <c r="F16" s="24">
        <f t="shared" si="1"/>
        <v>-233.6930847457628</v>
      </c>
      <c r="G16" s="65">
        <v>1177.7280952380952</v>
      </c>
      <c r="H16" s="65">
        <v>1128.75</v>
      </c>
      <c r="I16" s="24">
        <v>48.978095238095193</v>
      </c>
      <c r="J16" s="54">
        <v>-2.2414761904761944E-2</v>
      </c>
      <c r="K16" s="54">
        <v>-2.2414761904761944E-2</v>
      </c>
      <c r="L16" s="88">
        <v>1523</v>
      </c>
      <c r="M16" s="24">
        <f>1505+500</f>
        <v>2005</v>
      </c>
      <c r="N16" s="25">
        <f t="shared" si="2"/>
        <v>-806.6930847457628</v>
      </c>
      <c r="P16"/>
    </row>
    <row r="17" spans="2:16" s="4" customFormat="1" ht="21" customHeight="1">
      <c r="B17" s="26" t="s">
        <v>16</v>
      </c>
      <c r="C17" s="29"/>
      <c r="D17" s="65">
        <v>20.383249394673125</v>
      </c>
      <c r="E17" s="65">
        <v>50</v>
      </c>
      <c r="F17" s="24">
        <f t="shared" si="1"/>
        <v>-29.616750605326875</v>
      </c>
      <c r="G17" s="65">
        <v>814.86329404761898</v>
      </c>
      <c r="H17" s="65">
        <v>563.25</v>
      </c>
      <c r="I17" s="24">
        <v>251.61329404761898</v>
      </c>
      <c r="J17" s="54">
        <v>8.5037675163274276E-2</v>
      </c>
      <c r="K17" s="54">
        <v>8.5037675163274276E-2</v>
      </c>
      <c r="L17" s="88">
        <v>867</v>
      </c>
      <c r="M17" s="24">
        <f>751+250</f>
        <v>1001</v>
      </c>
      <c r="N17" s="25">
        <f t="shared" si="2"/>
        <v>-846.61675060532684</v>
      </c>
      <c r="P17"/>
    </row>
    <row r="18" spans="2:16" s="4" customFormat="1" ht="21" customHeight="1">
      <c r="B18" s="26" t="s">
        <v>25</v>
      </c>
      <c r="C18" s="29"/>
      <c r="D18" s="65">
        <v>73.771745762711859</v>
      </c>
      <c r="E18" s="65">
        <v>10</v>
      </c>
      <c r="F18" s="24">
        <f t="shared" si="1"/>
        <v>63.771745762711859</v>
      </c>
      <c r="G18" s="65">
        <v>55.784523809523812</v>
      </c>
      <c r="H18" s="65">
        <v>3.75</v>
      </c>
      <c r="I18" s="24">
        <v>52.034523809523812</v>
      </c>
      <c r="J18" s="54">
        <v>10.156904761904762</v>
      </c>
      <c r="K18" s="54">
        <v>10.156904761904762</v>
      </c>
      <c r="L18" s="88">
        <v>55.784523809523812</v>
      </c>
      <c r="M18" s="24">
        <v>5</v>
      </c>
      <c r="N18" s="25">
        <f t="shared" si="2"/>
        <v>17.987221953188048</v>
      </c>
      <c r="P18"/>
    </row>
    <row r="19" spans="2:16" s="4" customFormat="1" ht="21" customHeight="1">
      <c r="B19" s="26"/>
      <c r="C19" s="29"/>
      <c r="D19" s="65"/>
      <c r="E19" s="65"/>
      <c r="F19" s="24"/>
      <c r="G19" s="65"/>
      <c r="H19" s="65"/>
      <c r="I19" s="24"/>
      <c r="J19" s="54"/>
      <c r="K19" s="54"/>
      <c r="L19" s="88"/>
      <c r="M19" s="24"/>
      <c r="N19" s="25"/>
      <c r="P19" s="56"/>
    </row>
    <row r="20" spans="2:16" s="4" customFormat="1" ht="21" customHeight="1">
      <c r="B20" s="17" t="s">
        <v>26</v>
      </c>
      <c r="C20" s="29"/>
      <c r="D20" s="65" t="s">
        <v>2</v>
      </c>
      <c r="E20" s="65"/>
      <c r="F20" s="24" t="s">
        <v>2</v>
      </c>
      <c r="G20" s="65" t="s">
        <v>2</v>
      </c>
      <c r="H20" s="24" t="s">
        <v>2</v>
      </c>
      <c r="I20" s="24" t="s">
        <v>2</v>
      </c>
      <c r="J20" s="24"/>
      <c r="K20" s="24"/>
      <c r="L20" s="88" t="s">
        <v>2</v>
      </c>
      <c r="M20" s="24"/>
      <c r="N20" s="25" t="s">
        <v>2</v>
      </c>
    </row>
    <row r="21" spans="2:16" s="4" customFormat="1" ht="21" customHeight="1">
      <c r="B21" s="26" t="s">
        <v>46</v>
      </c>
      <c r="C21" s="29"/>
      <c r="D21" s="65">
        <v>6</v>
      </c>
      <c r="E21" s="24">
        <v>0</v>
      </c>
      <c r="F21" s="24">
        <f>+D21-E21</f>
        <v>6</v>
      </c>
      <c r="G21" s="65">
        <v>0</v>
      </c>
      <c r="H21" s="24">
        <v>0</v>
      </c>
      <c r="I21" s="24">
        <v>0</v>
      </c>
      <c r="J21" s="24" t="s">
        <v>101</v>
      </c>
      <c r="K21" s="54" t="s">
        <v>2</v>
      </c>
      <c r="L21" s="88">
        <v>3</v>
      </c>
      <c r="M21" s="24">
        <v>0</v>
      </c>
      <c r="N21" s="25">
        <f>+D21-L21</f>
        <v>3</v>
      </c>
    </row>
    <row r="22" spans="2:16" s="4" customFormat="1" ht="23.25" customHeight="1">
      <c r="B22" s="199" t="s">
        <v>27</v>
      </c>
      <c r="C22" s="245"/>
      <c r="D22" s="201">
        <f>SUM(D7:D21)</f>
        <v>6736.8082427360778</v>
      </c>
      <c r="E22" s="201">
        <f>SUM(E7:E21)</f>
        <v>5500</v>
      </c>
      <c r="F22" s="201">
        <f>SUM(F7:F21)</f>
        <v>1236.8082427360771</v>
      </c>
      <c r="G22" s="201">
        <f>SUM(G20:G21)</f>
        <v>0</v>
      </c>
      <c r="H22" s="201">
        <f>SUM(H20:H21)</f>
        <v>0</v>
      </c>
      <c r="I22" s="201">
        <f>SUM(I20:I21)</f>
        <v>0</v>
      </c>
      <c r="J22" s="246">
        <f>+F22/E22</f>
        <v>0.22487422595201401</v>
      </c>
      <c r="K22" s="246"/>
      <c r="L22" s="247">
        <f>SUM(L7:L21)</f>
        <v>5560.1309523809532</v>
      </c>
      <c r="M22" s="201">
        <f>SUM(M7:M21)</f>
        <v>7679</v>
      </c>
      <c r="N22" s="201">
        <f>SUM(N7:N21)</f>
        <v>1176.6772903551248</v>
      </c>
    </row>
    <row r="23" spans="2:16" s="5" customFormat="1" ht="8.25" customHeight="1">
      <c r="B23" s="16"/>
      <c r="C23" s="14"/>
      <c r="D23" s="27"/>
      <c r="E23" s="27"/>
      <c r="F23" s="27"/>
      <c r="G23" s="27"/>
      <c r="H23" s="27"/>
      <c r="I23" s="27"/>
      <c r="J23" s="27"/>
      <c r="K23" s="27"/>
      <c r="L23" s="89"/>
      <c r="M23" s="27"/>
      <c r="N23" s="28"/>
    </row>
    <row r="24" spans="2:16" s="5" customFormat="1" ht="21" customHeight="1">
      <c r="B24" s="249" t="s">
        <v>36</v>
      </c>
      <c r="C24" s="250"/>
      <c r="D24" s="251"/>
      <c r="E24" s="251"/>
      <c r="F24" s="251"/>
      <c r="G24" s="251"/>
      <c r="H24" s="251"/>
      <c r="I24" s="251"/>
      <c r="J24" s="251"/>
      <c r="K24" s="251"/>
      <c r="L24" s="252"/>
      <c r="M24" s="251"/>
      <c r="N24" s="253"/>
    </row>
    <row r="25" spans="2:16" s="5" customFormat="1" ht="21" customHeight="1">
      <c r="B25" s="18" t="s">
        <v>8</v>
      </c>
      <c r="C25" s="14"/>
      <c r="D25" s="29">
        <v>1549.2036319612591</v>
      </c>
      <c r="E25" s="29">
        <v>1551</v>
      </c>
      <c r="F25" s="29">
        <f>+E25-D25</f>
        <v>1.7963680387408658</v>
      </c>
      <c r="G25" s="29">
        <v>916.35238095238083</v>
      </c>
      <c r="H25" s="29">
        <v>1410</v>
      </c>
      <c r="I25" s="29">
        <v>493.64761904761917</v>
      </c>
      <c r="J25" s="55">
        <v>0.34827013677811564</v>
      </c>
      <c r="K25" s="54">
        <v>-0.34827013677811564</v>
      </c>
      <c r="L25" s="90">
        <v>1225.2521428571426</v>
      </c>
      <c r="M25" s="29">
        <v>1880</v>
      </c>
      <c r="N25" s="25">
        <f>+L25-D25</f>
        <v>-323.95148910411649</v>
      </c>
    </row>
    <row r="26" spans="2:16" s="5" customFormat="1" ht="21" customHeight="1">
      <c r="B26" s="18" t="s">
        <v>9</v>
      </c>
      <c r="C26" s="14"/>
      <c r="D26" s="29">
        <v>62.588539144471348</v>
      </c>
      <c r="E26" s="29">
        <v>160</v>
      </c>
      <c r="F26" s="29">
        <f t="shared" ref="F26:F34" si="3">+E26-D26</f>
        <v>97.411460855528645</v>
      </c>
      <c r="G26" s="29">
        <v>83.517142857142858</v>
      </c>
      <c r="H26" s="29">
        <v>243.75</v>
      </c>
      <c r="I26" s="29">
        <v>160.23285714285714</v>
      </c>
      <c r="J26" s="55">
        <v>0.64823369963369959</v>
      </c>
      <c r="K26" s="54">
        <v>-0.64823369963369959</v>
      </c>
      <c r="L26" s="90">
        <v>114.32404761904762</v>
      </c>
      <c r="M26" s="29">
        <v>325</v>
      </c>
      <c r="N26" s="25">
        <f t="shared" ref="N26:N34" si="4">+L26-D26</f>
        <v>51.735508474576271</v>
      </c>
    </row>
    <row r="27" spans="2:16" s="5" customFormat="1" ht="21" customHeight="1">
      <c r="B27" s="18" t="s">
        <v>29</v>
      </c>
      <c r="C27" s="14"/>
      <c r="D27" s="29">
        <v>771.68365617433415</v>
      </c>
      <c r="E27" s="29">
        <v>780</v>
      </c>
      <c r="F27" s="29">
        <f t="shared" si="3"/>
        <v>8.3163438256658537</v>
      </c>
      <c r="G27" s="29">
        <v>386.85321428571427</v>
      </c>
      <c r="H27" s="29">
        <v>582</v>
      </c>
      <c r="I27" s="29">
        <v>195.14678571428573</v>
      </c>
      <c r="J27" s="55">
        <v>0.33218872729504179</v>
      </c>
      <c r="K27" s="54">
        <v>-0.33218872729504179</v>
      </c>
      <c r="L27" s="90">
        <v>518.22154761904756</v>
      </c>
      <c r="M27" s="29">
        <v>776</v>
      </c>
      <c r="N27" s="25">
        <f t="shared" si="4"/>
        <v>-253.46210855528659</v>
      </c>
    </row>
    <row r="28" spans="2:16" s="5" customFormat="1" ht="21" customHeight="1">
      <c r="B28" s="18" t="s">
        <v>10</v>
      </c>
      <c r="C28" s="14"/>
      <c r="D28" s="29">
        <v>431.83270110304011</v>
      </c>
      <c r="E28" s="29">
        <v>600</v>
      </c>
      <c r="F28" s="29">
        <f t="shared" si="3"/>
        <v>168.16729889695989</v>
      </c>
      <c r="G28" s="29">
        <v>491.0269047619048</v>
      </c>
      <c r="H28" s="29">
        <v>562.5</v>
      </c>
      <c r="I28" s="29">
        <v>71.473095238095198</v>
      </c>
      <c r="J28" s="55">
        <v>0.19991444444444428</v>
      </c>
      <c r="K28" s="54">
        <v>-0.19991444444444428</v>
      </c>
      <c r="L28" s="90">
        <v>600.06416666666678</v>
      </c>
      <c r="M28" s="29">
        <v>750</v>
      </c>
      <c r="N28" s="25">
        <f t="shared" si="4"/>
        <v>168.23146556362667</v>
      </c>
    </row>
    <row r="29" spans="2:16" s="5" customFormat="1" ht="21" customHeight="1">
      <c r="B29" s="18" t="s">
        <v>30</v>
      </c>
      <c r="C29" s="14"/>
      <c r="D29" s="29">
        <v>164.785593220339</v>
      </c>
      <c r="E29" s="29">
        <v>185</v>
      </c>
      <c r="F29" s="29">
        <f t="shared" si="3"/>
        <v>20.214406779661005</v>
      </c>
      <c r="G29" s="29">
        <v>116.98238095238095</v>
      </c>
      <c r="H29" s="29">
        <v>112.5</v>
      </c>
      <c r="I29" s="29">
        <v>-4.4823809523809501</v>
      </c>
      <c r="J29" s="55">
        <v>-9.600396825396823E-2</v>
      </c>
      <c r="K29" s="54">
        <v>9.600396825396823E-2</v>
      </c>
      <c r="L29" s="90">
        <v>164.40059523809524</v>
      </c>
      <c r="M29" s="29">
        <v>150</v>
      </c>
      <c r="N29" s="25">
        <f t="shared" si="4"/>
        <v>-0.38499798224376036</v>
      </c>
    </row>
    <row r="30" spans="2:16" s="5" customFormat="1" ht="21" customHeight="1">
      <c r="B30" s="26" t="s">
        <v>11</v>
      </c>
      <c r="C30" s="14"/>
      <c r="D30" s="29">
        <v>658.23995157384991</v>
      </c>
      <c r="E30" s="29">
        <v>354</v>
      </c>
      <c r="F30" s="29">
        <f t="shared" si="3"/>
        <v>-304.23995157384991</v>
      </c>
      <c r="G30" s="29">
        <v>165.28416666666666</v>
      </c>
      <c r="H30" s="29">
        <v>570</v>
      </c>
      <c r="I30" s="29">
        <v>404.71583333333331</v>
      </c>
      <c r="J30" s="55">
        <v>0.53637124060150376</v>
      </c>
      <c r="K30" s="54">
        <v>-0.53637124060150376</v>
      </c>
      <c r="L30" s="90">
        <v>352.35785714285714</v>
      </c>
      <c r="M30" s="29">
        <v>760</v>
      </c>
      <c r="N30" s="25">
        <f t="shared" si="4"/>
        <v>-305.88209443099277</v>
      </c>
    </row>
    <row r="31" spans="2:16" s="5" customFormat="1" ht="21" customHeight="1">
      <c r="B31" s="18" t="s">
        <v>47</v>
      </c>
      <c r="C31" s="14"/>
      <c r="D31" s="29">
        <v>140.58353510895884</v>
      </c>
      <c r="E31" s="29">
        <v>160</v>
      </c>
      <c r="F31" s="29">
        <f t="shared" si="3"/>
        <v>19.416464891041159</v>
      </c>
      <c r="G31" s="29">
        <v>81.997380952380951</v>
      </c>
      <c r="H31" s="29">
        <v>108.75</v>
      </c>
      <c r="I31" s="29">
        <v>26.752619047619049</v>
      </c>
      <c r="J31" s="55">
        <v>0.19121510673234804</v>
      </c>
      <c r="K31" s="54">
        <v>-0.19121510673234804</v>
      </c>
      <c r="L31" s="90">
        <v>117.27380952380953</v>
      </c>
      <c r="M31" s="29">
        <v>145</v>
      </c>
      <c r="N31" s="25">
        <f t="shared" si="4"/>
        <v>-23.309725585149309</v>
      </c>
    </row>
    <row r="32" spans="2:16" s="5" customFormat="1" ht="21" customHeight="1">
      <c r="B32" s="18" t="s">
        <v>48</v>
      </c>
      <c r="C32" s="14"/>
      <c r="D32" s="29">
        <v>766.26307506053263</v>
      </c>
      <c r="E32" s="29">
        <v>610</v>
      </c>
      <c r="F32" s="29">
        <f t="shared" si="3"/>
        <v>-156.26307506053263</v>
      </c>
      <c r="G32" s="29">
        <v>522.14571428571435</v>
      </c>
      <c r="H32" s="29">
        <v>355.04999999999995</v>
      </c>
      <c r="I32" s="29">
        <v>-167.09571428571439</v>
      </c>
      <c r="J32" s="55">
        <v>-0.44799927575592979</v>
      </c>
      <c r="K32" s="54">
        <v>0.44799927575592979</v>
      </c>
      <c r="L32" s="90">
        <v>685.48285714285714</v>
      </c>
      <c r="M32" s="29">
        <v>473.4</v>
      </c>
      <c r="N32" s="25">
        <f t="shared" si="4"/>
        <v>-80.780217917675486</v>
      </c>
    </row>
    <row r="33" spans="2:15" s="5" customFormat="1" ht="21" customHeight="1">
      <c r="B33" s="18" t="s">
        <v>122</v>
      </c>
      <c r="C33" s="14"/>
      <c r="D33" s="29">
        <v>0</v>
      </c>
      <c r="E33" s="29">
        <v>0</v>
      </c>
      <c r="F33" s="29">
        <f t="shared" si="3"/>
        <v>0</v>
      </c>
      <c r="G33" s="29">
        <v>981.05285714285708</v>
      </c>
      <c r="H33" s="29">
        <v>1350</v>
      </c>
      <c r="I33" s="29">
        <v>368.94714285714292</v>
      </c>
      <c r="J33" s="55">
        <v>0.31312725779967165</v>
      </c>
      <c r="K33" s="54">
        <v>-0.31312725779967165</v>
      </c>
      <c r="L33" s="90">
        <v>995.96547619047612</v>
      </c>
      <c r="M33" s="29">
        <v>1450</v>
      </c>
      <c r="N33" s="25">
        <f t="shared" si="4"/>
        <v>995.96547619047612</v>
      </c>
    </row>
    <row r="34" spans="2:15" s="5" customFormat="1" ht="21" customHeight="1">
      <c r="B34" s="26" t="s">
        <v>12</v>
      </c>
      <c r="C34" s="14"/>
      <c r="D34" s="29">
        <v>995.41368038740927</v>
      </c>
      <c r="E34" s="29">
        <v>1100</v>
      </c>
      <c r="F34" s="29">
        <f t="shared" si="3"/>
        <v>104.58631961259073</v>
      </c>
      <c r="G34" s="29">
        <v>279.50309523809523</v>
      </c>
      <c r="H34" s="29">
        <v>727.05</v>
      </c>
      <c r="I34" s="29">
        <v>447.54690476190473</v>
      </c>
      <c r="J34" s="55">
        <v>0.47781568373171429</v>
      </c>
      <c r="K34" s="54">
        <v>-0.47781568373171429</v>
      </c>
      <c r="L34" s="90">
        <v>506.20547619047613</v>
      </c>
      <c r="M34" s="29">
        <v>969.4</v>
      </c>
      <c r="N34" s="25">
        <f t="shared" si="4"/>
        <v>-489.20820419693314</v>
      </c>
    </row>
    <row r="35" spans="2:15" ht="23.25" customHeight="1">
      <c r="B35" s="202" t="s">
        <v>92</v>
      </c>
      <c r="C35" s="200"/>
      <c r="D35" s="201">
        <f>SUM(D25:D34)</f>
        <v>5540.5943637341943</v>
      </c>
      <c r="E35" s="201">
        <f t="shared" ref="E35:M35" si="5">SUM(E25:E34)</f>
        <v>5500</v>
      </c>
      <c r="F35" s="201">
        <f t="shared" si="5"/>
        <v>-40.594363734194445</v>
      </c>
      <c r="G35" s="201">
        <f t="shared" si="5"/>
        <v>4024.715238095238</v>
      </c>
      <c r="H35" s="201">
        <f>SUM(H25:H34)+1</f>
        <v>6022.6</v>
      </c>
      <c r="I35" s="201">
        <f t="shared" si="5"/>
        <v>1996.8847619047617</v>
      </c>
      <c r="J35" s="246">
        <f>+F35/E35</f>
        <v>-7.380793406217172E-3</v>
      </c>
      <c r="K35" s="246"/>
      <c r="L35" s="247">
        <f>SUM(L25:L34)</f>
        <v>5279.5479761904762</v>
      </c>
      <c r="M35" s="201">
        <f t="shared" si="5"/>
        <v>7678.7999999999993</v>
      </c>
      <c r="N35" s="201">
        <f>SUM(N25:N34)</f>
        <v>-261.04638754371842</v>
      </c>
      <c r="O35" t="s">
        <v>2</v>
      </c>
    </row>
    <row r="36" spans="2:15" ht="8.25" customHeight="1">
      <c r="B36" s="17"/>
      <c r="C36" s="14"/>
      <c r="D36" s="29" t="s">
        <v>2</v>
      </c>
      <c r="E36" s="27"/>
      <c r="F36" s="27"/>
      <c r="G36" s="27"/>
      <c r="H36" s="27"/>
      <c r="I36" s="27"/>
      <c r="J36" s="27"/>
      <c r="K36" s="27"/>
      <c r="L36" s="89"/>
      <c r="M36" s="27"/>
      <c r="N36" s="28"/>
    </row>
    <row r="37" spans="2:15" ht="21" customHeight="1">
      <c r="B37" s="17" t="s">
        <v>37</v>
      </c>
      <c r="C37" s="14"/>
      <c r="D37" s="29"/>
      <c r="E37" s="27"/>
      <c r="F37" s="27"/>
      <c r="G37" s="27"/>
      <c r="H37" s="27"/>
      <c r="I37" s="27"/>
      <c r="J37" s="27"/>
      <c r="K37" s="27"/>
      <c r="L37" s="89"/>
      <c r="M37" s="27"/>
      <c r="N37" s="28"/>
    </row>
    <row r="38" spans="2:15" ht="21" customHeight="1">
      <c r="B38" s="18" t="s">
        <v>32</v>
      </c>
      <c r="C38" s="14"/>
      <c r="D38" s="29">
        <v>2745.5840193704598</v>
      </c>
      <c r="E38" s="29">
        <v>3042</v>
      </c>
      <c r="F38" s="29">
        <f>+E38-D38</f>
        <v>296.41598062954017</v>
      </c>
      <c r="G38" s="29">
        <v>1790.2578571428569</v>
      </c>
      <c r="H38" s="29">
        <v>2391</v>
      </c>
      <c r="I38" s="29">
        <v>600.74214285714311</v>
      </c>
      <c r="J38" s="55">
        <v>0.21286162394694397</v>
      </c>
      <c r="K38" s="54">
        <v>-0.21286162394694397</v>
      </c>
      <c r="L38" s="90">
        <v>2509.3971428571426</v>
      </c>
      <c r="M38" s="29">
        <v>3188</v>
      </c>
      <c r="N38" s="25">
        <f>+L38-D38</f>
        <v>-236.1868765133172</v>
      </c>
    </row>
    <row r="39" spans="2:15" ht="21" customHeight="1">
      <c r="B39" s="18" t="s">
        <v>33</v>
      </c>
      <c r="C39" s="14"/>
      <c r="D39" s="29">
        <v>82.387772397094437</v>
      </c>
      <c r="E39" s="29">
        <v>128</v>
      </c>
      <c r="F39" s="29">
        <f t="shared" ref="F39:F44" si="6">+E39-D39</f>
        <v>45.612227602905563</v>
      </c>
      <c r="G39" s="29">
        <v>55.213928571428575</v>
      </c>
      <c r="H39" s="29">
        <v>116.25</v>
      </c>
      <c r="I39" s="29">
        <v>61.036071428571425</v>
      </c>
      <c r="J39" s="55">
        <v>0.47202150537634402</v>
      </c>
      <c r="K39" s="54">
        <v>-0.47202150537634402</v>
      </c>
      <c r="L39" s="90">
        <v>81.836666666666673</v>
      </c>
      <c r="M39" s="29">
        <v>155</v>
      </c>
      <c r="N39" s="25">
        <f t="shared" ref="N39:N44" si="7">+L39-D39</f>
        <v>-0.55110573042776423</v>
      </c>
    </row>
    <row r="40" spans="2:15" ht="21" customHeight="1">
      <c r="B40" s="18" t="s">
        <v>7</v>
      </c>
      <c r="C40" s="14"/>
      <c r="D40" s="29">
        <v>541.62908259348933</v>
      </c>
      <c r="E40" s="29">
        <v>430</v>
      </c>
      <c r="F40" s="29">
        <f t="shared" si="6"/>
        <v>-111.62908259348933</v>
      </c>
      <c r="G40" s="29">
        <v>331.32678571428568</v>
      </c>
      <c r="H40" s="29">
        <v>247.5</v>
      </c>
      <c r="I40" s="29">
        <v>-83.826785714285677</v>
      </c>
      <c r="J40" s="55">
        <v>-0.31772510822510808</v>
      </c>
      <c r="K40" s="54">
        <v>0.31772510822510808</v>
      </c>
      <c r="L40" s="90">
        <v>434.84928571428566</v>
      </c>
      <c r="M40" s="29">
        <v>330</v>
      </c>
      <c r="N40" s="25">
        <f t="shared" si="7"/>
        <v>-106.77979687920367</v>
      </c>
    </row>
    <row r="41" spans="2:15" ht="21" customHeight="1">
      <c r="B41" s="18" t="s">
        <v>6</v>
      </c>
      <c r="C41" s="14"/>
      <c r="D41" s="29">
        <v>1370.2433010492332</v>
      </c>
      <c r="E41" s="29">
        <v>820</v>
      </c>
      <c r="F41" s="29">
        <f t="shared" si="6"/>
        <v>-550.2433010492332</v>
      </c>
      <c r="G41" s="29">
        <v>1198.3136904761902</v>
      </c>
      <c r="H41" s="29">
        <v>2207</v>
      </c>
      <c r="I41" s="29">
        <v>1008.6863095238098</v>
      </c>
      <c r="J41" s="55">
        <v>0.45750385653683007</v>
      </c>
      <c r="K41" s="54">
        <v>-0.45750385653683007</v>
      </c>
      <c r="L41" s="90">
        <v>1406.6924999999997</v>
      </c>
      <c r="M41" s="29">
        <v>2593</v>
      </c>
      <c r="N41" s="25">
        <f t="shared" si="7"/>
        <v>36.449198950766458</v>
      </c>
    </row>
    <row r="42" spans="2:15" ht="21" customHeight="1">
      <c r="B42" s="18" t="s">
        <v>49</v>
      </c>
      <c r="C42" s="14"/>
      <c r="D42" s="29">
        <v>461.07101156846915</v>
      </c>
      <c r="E42" s="29">
        <v>575</v>
      </c>
      <c r="F42" s="29">
        <f t="shared" si="6"/>
        <v>113.92898843153085</v>
      </c>
      <c r="G42" s="29">
        <v>292.03345238095238</v>
      </c>
      <c r="H42" s="29">
        <v>519.75</v>
      </c>
      <c r="I42" s="29">
        <v>227.71654761904762</v>
      </c>
      <c r="J42" s="55">
        <v>0.4280608809180238</v>
      </c>
      <c r="K42" s="54">
        <v>-0.4280608809180238</v>
      </c>
      <c r="L42" s="90">
        <v>396.3538095238095</v>
      </c>
      <c r="M42" s="29">
        <v>693</v>
      </c>
      <c r="N42" s="25">
        <f t="shared" si="7"/>
        <v>-64.717202044659643</v>
      </c>
    </row>
    <row r="43" spans="2:15" ht="21" customHeight="1">
      <c r="B43" s="18" t="s">
        <v>31</v>
      </c>
      <c r="C43" s="14"/>
      <c r="D43" s="29">
        <v>287.27263922518159</v>
      </c>
      <c r="E43" s="29">
        <v>400</v>
      </c>
      <c r="F43" s="29">
        <f t="shared" si="6"/>
        <v>112.72736077481841</v>
      </c>
      <c r="G43" s="29">
        <v>273.70142857142849</v>
      </c>
      <c r="H43" s="29">
        <v>427.5</v>
      </c>
      <c r="I43" s="29">
        <v>153.79857142857151</v>
      </c>
      <c r="J43" s="55">
        <v>0.35873433583959907</v>
      </c>
      <c r="K43" s="54">
        <v>-0.35873433583959907</v>
      </c>
      <c r="L43" s="90">
        <v>365.52142857142854</v>
      </c>
      <c r="M43" s="29">
        <v>570</v>
      </c>
      <c r="N43" s="25">
        <f t="shared" si="7"/>
        <v>78.248789346246951</v>
      </c>
    </row>
    <row r="44" spans="2:15" ht="21" customHeight="1">
      <c r="B44" s="18" t="s">
        <v>50</v>
      </c>
      <c r="C44" s="14"/>
      <c r="D44" s="29">
        <v>52.406537530266348</v>
      </c>
      <c r="E44" s="29">
        <v>105</v>
      </c>
      <c r="F44" s="29">
        <f t="shared" si="6"/>
        <v>52.593462469733652</v>
      </c>
      <c r="G44" s="29">
        <v>83.868095238095236</v>
      </c>
      <c r="H44" s="29">
        <v>112.5</v>
      </c>
      <c r="I44" s="29">
        <v>28.631904761904764</v>
      </c>
      <c r="J44" s="55">
        <v>0.43401904761904764</v>
      </c>
      <c r="K44" s="54">
        <v>-0.43401904761904764</v>
      </c>
      <c r="L44" s="90">
        <v>84.897142857142853</v>
      </c>
      <c r="M44" s="29">
        <v>150</v>
      </c>
      <c r="N44" s="25">
        <f t="shared" si="7"/>
        <v>32.490605326876505</v>
      </c>
    </row>
    <row r="45" spans="2:15" ht="11.25" customHeight="1">
      <c r="B45" s="16" t="s">
        <v>2</v>
      </c>
      <c r="C45" s="14"/>
      <c r="D45" s="29" t="s">
        <v>2</v>
      </c>
      <c r="E45" s="29" t="s">
        <v>2</v>
      </c>
      <c r="F45" s="29" t="s">
        <v>2</v>
      </c>
      <c r="G45" s="29" t="s">
        <v>2</v>
      </c>
      <c r="H45" s="29" t="s">
        <v>2</v>
      </c>
      <c r="I45" s="29" t="s">
        <v>2</v>
      </c>
      <c r="J45" s="29"/>
      <c r="K45" s="29"/>
      <c r="L45" s="90" t="s">
        <v>2</v>
      </c>
      <c r="M45" s="29" t="s">
        <v>2</v>
      </c>
      <c r="N45" s="30" t="s">
        <v>2</v>
      </c>
    </row>
    <row r="46" spans="2:15" ht="23.25" customHeight="1">
      <c r="B46" s="202" t="s">
        <v>91</v>
      </c>
      <c r="C46" s="200"/>
      <c r="D46" s="201">
        <f t="shared" ref="D46:N46" si="8">SUM(D38:D45)</f>
        <v>5540.5943637341934</v>
      </c>
      <c r="E46" s="201">
        <f t="shared" si="8"/>
        <v>5500</v>
      </c>
      <c r="F46" s="201">
        <f t="shared" si="8"/>
        <v>-40.594363734193848</v>
      </c>
      <c r="G46" s="201">
        <f t="shared" si="8"/>
        <v>4024.7152380952371</v>
      </c>
      <c r="H46" s="201">
        <f>SUM(H38:H45)+1</f>
        <v>6022.5</v>
      </c>
      <c r="I46" s="201">
        <f>SUM(I38:I45)</f>
        <v>1996.7847619047623</v>
      </c>
      <c r="J46" s="246">
        <f>+F46/E46</f>
        <v>-7.3807934062170635E-3</v>
      </c>
      <c r="K46" s="246"/>
      <c r="L46" s="247">
        <f t="shared" si="8"/>
        <v>5279.5479761904744</v>
      </c>
      <c r="M46" s="201">
        <f t="shared" si="8"/>
        <v>7679</v>
      </c>
      <c r="N46" s="248">
        <f t="shared" si="8"/>
        <v>-261.04638754371837</v>
      </c>
      <c r="O46" t="s">
        <v>2</v>
      </c>
    </row>
    <row r="47" spans="2:15" s="2" customFormat="1" ht="9" customHeight="1">
      <c r="B47" s="254"/>
      <c r="C47" s="250"/>
      <c r="D47" s="251"/>
      <c r="E47" s="251"/>
      <c r="F47" s="251"/>
      <c r="G47" s="251"/>
      <c r="H47" s="251"/>
      <c r="I47" s="251"/>
      <c r="J47" s="251"/>
      <c r="K47" s="251"/>
      <c r="L47" s="252"/>
      <c r="M47" s="251"/>
      <c r="N47" s="253"/>
    </row>
    <row r="48" spans="2:15" ht="22" thickBot="1">
      <c r="B48" s="255" t="s">
        <v>35</v>
      </c>
      <c r="C48" s="256"/>
      <c r="D48" s="257">
        <f>D22-D46</f>
        <v>1196.2138790018844</v>
      </c>
      <c r="E48" s="257">
        <f>E22-E46</f>
        <v>0</v>
      </c>
      <c r="F48" s="257">
        <f>F22+F46</f>
        <v>1196.2138790018832</v>
      </c>
      <c r="G48" s="257">
        <f>G22-G46</f>
        <v>-4024.7152380952371</v>
      </c>
      <c r="H48" s="257">
        <f>H22-H46</f>
        <v>-6022.5</v>
      </c>
      <c r="I48" s="257">
        <f>I22+I46+2</f>
        <v>1998.7847619047623</v>
      </c>
      <c r="J48" s="257"/>
      <c r="K48" s="257"/>
      <c r="L48" s="258">
        <f>L22-L46-1</f>
        <v>279.5829761904788</v>
      </c>
      <c r="M48" s="257">
        <f>M22-M46</f>
        <v>0</v>
      </c>
      <c r="N48" s="259">
        <f>N22-N46</f>
        <v>1437.7236778988431</v>
      </c>
    </row>
  </sheetData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Z75"/>
  <sheetViews>
    <sheetView showGridLines="0" topLeftCell="A13" zoomScale="80" zoomScaleNormal="80" zoomScalePageLayoutView="80" workbookViewId="0">
      <selection activeCell="J14" sqref="J14"/>
    </sheetView>
  </sheetViews>
  <sheetFormatPr baseColWidth="10" defaultColWidth="8.83203125" defaultRowHeight="15"/>
  <cols>
    <col min="1" max="1" width="0.83203125" customWidth="1"/>
    <col min="2" max="2" width="84" style="1" customWidth="1"/>
    <col min="3" max="3" width="1.33203125" customWidth="1"/>
    <col min="4" max="9" width="10.5" style="3" customWidth="1"/>
    <col min="10" max="10" width="12.1640625" customWidth="1"/>
    <col min="11" max="11" width="10" bestFit="1" customWidth="1"/>
    <col min="14" max="14" width="13.1640625" customWidth="1"/>
    <col min="15" max="15" width="15.83203125" customWidth="1"/>
    <col min="16" max="16" width="12.6640625" customWidth="1"/>
    <col min="227" max="227" width="0.83203125" customWidth="1"/>
    <col min="228" max="228" width="57.5" customWidth="1"/>
    <col min="229" max="229" width="1.33203125" customWidth="1"/>
    <col min="230" max="234" width="10.5" customWidth="1"/>
    <col min="235" max="235" width="12.1640625" customWidth="1"/>
    <col min="236" max="236" width="10.6640625" customWidth="1"/>
    <col min="237" max="237" width="23" customWidth="1"/>
    <col min="238" max="238" width="4.83203125" customWidth="1"/>
    <col min="243" max="245" width="10.5" bestFit="1" customWidth="1"/>
    <col min="483" max="483" width="0.83203125" customWidth="1"/>
    <col min="484" max="484" width="57.5" customWidth="1"/>
    <col min="485" max="485" width="1.33203125" customWidth="1"/>
    <col min="486" max="490" width="10.5" customWidth="1"/>
    <col min="491" max="491" width="12.1640625" customWidth="1"/>
    <col min="492" max="492" width="10.6640625" customWidth="1"/>
    <col min="493" max="493" width="23" customWidth="1"/>
    <col min="494" max="494" width="4.83203125" customWidth="1"/>
    <col min="499" max="501" width="10.5" bestFit="1" customWidth="1"/>
    <col min="739" max="739" width="0.83203125" customWidth="1"/>
    <col min="740" max="740" width="57.5" customWidth="1"/>
    <col min="741" max="741" width="1.33203125" customWidth="1"/>
    <col min="742" max="746" width="10.5" customWidth="1"/>
    <col min="747" max="747" width="12.1640625" customWidth="1"/>
    <col min="748" max="748" width="10.6640625" customWidth="1"/>
    <col min="749" max="749" width="23" customWidth="1"/>
    <col min="750" max="750" width="4.83203125" customWidth="1"/>
    <col min="755" max="757" width="10.5" bestFit="1" customWidth="1"/>
    <col min="995" max="995" width="0.83203125" customWidth="1"/>
    <col min="996" max="996" width="57.5" customWidth="1"/>
    <col min="997" max="997" width="1.33203125" customWidth="1"/>
    <col min="998" max="1002" width="10.5" customWidth="1"/>
    <col min="1003" max="1003" width="12.1640625" customWidth="1"/>
    <col min="1004" max="1004" width="10.6640625" customWidth="1"/>
    <col min="1005" max="1005" width="23" customWidth="1"/>
    <col min="1006" max="1006" width="4.83203125" customWidth="1"/>
    <col min="1011" max="1013" width="10.5" bestFit="1" customWidth="1"/>
    <col min="1251" max="1251" width="0.83203125" customWidth="1"/>
    <col min="1252" max="1252" width="57.5" customWidth="1"/>
    <col min="1253" max="1253" width="1.33203125" customWidth="1"/>
    <col min="1254" max="1258" width="10.5" customWidth="1"/>
    <col min="1259" max="1259" width="12.1640625" customWidth="1"/>
    <col min="1260" max="1260" width="10.6640625" customWidth="1"/>
    <col min="1261" max="1261" width="23" customWidth="1"/>
    <col min="1262" max="1262" width="4.83203125" customWidth="1"/>
    <col min="1267" max="1269" width="10.5" bestFit="1" customWidth="1"/>
    <col min="1507" max="1507" width="0.83203125" customWidth="1"/>
    <col min="1508" max="1508" width="57.5" customWidth="1"/>
    <col min="1509" max="1509" width="1.33203125" customWidth="1"/>
    <col min="1510" max="1514" width="10.5" customWidth="1"/>
    <col min="1515" max="1515" width="12.1640625" customWidth="1"/>
    <col min="1516" max="1516" width="10.6640625" customWidth="1"/>
    <col min="1517" max="1517" width="23" customWidth="1"/>
    <col min="1518" max="1518" width="4.83203125" customWidth="1"/>
    <col min="1523" max="1525" width="10.5" bestFit="1" customWidth="1"/>
    <col min="1763" max="1763" width="0.83203125" customWidth="1"/>
    <col min="1764" max="1764" width="57.5" customWidth="1"/>
    <col min="1765" max="1765" width="1.33203125" customWidth="1"/>
    <col min="1766" max="1770" width="10.5" customWidth="1"/>
    <col min="1771" max="1771" width="12.1640625" customWidth="1"/>
    <col min="1772" max="1772" width="10.6640625" customWidth="1"/>
    <col min="1773" max="1773" width="23" customWidth="1"/>
    <col min="1774" max="1774" width="4.83203125" customWidth="1"/>
    <col min="1779" max="1781" width="10.5" bestFit="1" customWidth="1"/>
    <col min="2019" max="2019" width="0.83203125" customWidth="1"/>
    <col min="2020" max="2020" width="57.5" customWidth="1"/>
    <col min="2021" max="2021" width="1.33203125" customWidth="1"/>
    <col min="2022" max="2026" width="10.5" customWidth="1"/>
    <col min="2027" max="2027" width="12.1640625" customWidth="1"/>
    <col min="2028" max="2028" width="10.6640625" customWidth="1"/>
    <col min="2029" max="2029" width="23" customWidth="1"/>
    <col min="2030" max="2030" width="4.83203125" customWidth="1"/>
    <col min="2035" max="2037" width="10.5" bestFit="1" customWidth="1"/>
    <col min="2275" max="2275" width="0.83203125" customWidth="1"/>
    <col min="2276" max="2276" width="57.5" customWidth="1"/>
    <col min="2277" max="2277" width="1.33203125" customWidth="1"/>
    <col min="2278" max="2282" width="10.5" customWidth="1"/>
    <col min="2283" max="2283" width="12.1640625" customWidth="1"/>
    <col min="2284" max="2284" width="10.6640625" customWidth="1"/>
    <col min="2285" max="2285" width="23" customWidth="1"/>
    <col min="2286" max="2286" width="4.83203125" customWidth="1"/>
    <col min="2291" max="2293" width="10.5" bestFit="1" customWidth="1"/>
    <col min="2531" max="2531" width="0.83203125" customWidth="1"/>
    <col min="2532" max="2532" width="57.5" customWidth="1"/>
    <col min="2533" max="2533" width="1.33203125" customWidth="1"/>
    <col min="2534" max="2538" width="10.5" customWidth="1"/>
    <col min="2539" max="2539" width="12.1640625" customWidth="1"/>
    <col min="2540" max="2540" width="10.6640625" customWidth="1"/>
    <col min="2541" max="2541" width="23" customWidth="1"/>
    <col min="2542" max="2542" width="4.83203125" customWidth="1"/>
    <col min="2547" max="2549" width="10.5" bestFit="1" customWidth="1"/>
    <col min="2787" max="2787" width="0.83203125" customWidth="1"/>
    <col min="2788" max="2788" width="57.5" customWidth="1"/>
    <col min="2789" max="2789" width="1.33203125" customWidth="1"/>
    <col min="2790" max="2794" width="10.5" customWidth="1"/>
    <col min="2795" max="2795" width="12.1640625" customWidth="1"/>
    <col min="2796" max="2796" width="10.6640625" customWidth="1"/>
    <col min="2797" max="2797" width="23" customWidth="1"/>
    <col min="2798" max="2798" width="4.83203125" customWidth="1"/>
    <col min="2803" max="2805" width="10.5" bestFit="1" customWidth="1"/>
    <col min="3043" max="3043" width="0.83203125" customWidth="1"/>
    <col min="3044" max="3044" width="57.5" customWidth="1"/>
    <col min="3045" max="3045" width="1.33203125" customWidth="1"/>
    <col min="3046" max="3050" width="10.5" customWidth="1"/>
    <col min="3051" max="3051" width="12.1640625" customWidth="1"/>
    <col min="3052" max="3052" width="10.6640625" customWidth="1"/>
    <col min="3053" max="3053" width="23" customWidth="1"/>
    <col min="3054" max="3054" width="4.83203125" customWidth="1"/>
    <col min="3059" max="3061" width="10.5" bestFit="1" customWidth="1"/>
    <col min="3299" max="3299" width="0.83203125" customWidth="1"/>
    <col min="3300" max="3300" width="57.5" customWidth="1"/>
    <col min="3301" max="3301" width="1.33203125" customWidth="1"/>
    <col min="3302" max="3306" width="10.5" customWidth="1"/>
    <col min="3307" max="3307" width="12.1640625" customWidth="1"/>
    <col min="3308" max="3308" width="10.6640625" customWidth="1"/>
    <col min="3309" max="3309" width="23" customWidth="1"/>
    <col min="3310" max="3310" width="4.83203125" customWidth="1"/>
    <col min="3315" max="3317" width="10.5" bestFit="1" customWidth="1"/>
    <col min="3555" max="3555" width="0.83203125" customWidth="1"/>
    <col min="3556" max="3556" width="57.5" customWidth="1"/>
    <col min="3557" max="3557" width="1.33203125" customWidth="1"/>
    <col min="3558" max="3562" width="10.5" customWidth="1"/>
    <col min="3563" max="3563" width="12.1640625" customWidth="1"/>
    <col min="3564" max="3564" width="10.6640625" customWidth="1"/>
    <col min="3565" max="3565" width="23" customWidth="1"/>
    <col min="3566" max="3566" width="4.83203125" customWidth="1"/>
    <col min="3571" max="3573" width="10.5" bestFit="1" customWidth="1"/>
    <col min="3811" max="3811" width="0.83203125" customWidth="1"/>
    <col min="3812" max="3812" width="57.5" customWidth="1"/>
    <col min="3813" max="3813" width="1.33203125" customWidth="1"/>
    <col min="3814" max="3818" width="10.5" customWidth="1"/>
    <col min="3819" max="3819" width="12.1640625" customWidth="1"/>
    <col min="3820" max="3820" width="10.6640625" customWidth="1"/>
    <col min="3821" max="3821" width="23" customWidth="1"/>
    <col min="3822" max="3822" width="4.83203125" customWidth="1"/>
    <col min="3827" max="3829" width="10.5" bestFit="1" customWidth="1"/>
    <col min="4067" max="4067" width="0.83203125" customWidth="1"/>
    <col min="4068" max="4068" width="57.5" customWidth="1"/>
    <col min="4069" max="4069" width="1.33203125" customWidth="1"/>
    <col min="4070" max="4074" width="10.5" customWidth="1"/>
    <col min="4075" max="4075" width="12.1640625" customWidth="1"/>
    <col min="4076" max="4076" width="10.6640625" customWidth="1"/>
    <col min="4077" max="4077" width="23" customWidth="1"/>
    <col min="4078" max="4078" width="4.83203125" customWidth="1"/>
    <col min="4083" max="4085" width="10.5" bestFit="1" customWidth="1"/>
    <col min="4323" max="4323" width="0.83203125" customWidth="1"/>
    <col min="4324" max="4324" width="57.5" customWidth="1"/>
    <col min="4325" max="4325" width="1.33203125" customWidth="1"/>
    <col min="4326" max="4330" width="10.5" customWidth="1"/>
    <col min="4331" max="4331" width="12.1640625" customWidth="1"/>
    <col min="4332" max="4332" width="10.6640625" customWidth="1"/>
    <col min="4333" max="4333" width="23" customWidth="1"/>
    <col min="4334" max="4334" width="4.83203125" customWidth="1"/>
    <col min="4339" max="4341" width="10.5" bestFit="1" customWidth="1"/>
    <col min="4579" max="4579" width="0.83203125" customWidth="1"/>
    <col min="4580" max="4580" width="57.5" customWidth="1"/>
    <col min="4581" max="4581" width="1.33203125" customWidth="1"/>
    <col min="4582" max="4586" width="10.5" customWidth="1"/>
    <col min="4587" max="4587" width="12.1640625" customWidth="1"/>
    <col min="4588" max="4588" width="10.6640625" customWidth="1"/>
    <col min="4589" max="4589" width="23" customWidth="1"/>
    <col min="4590" max="4590" width="4.83203125" customWidth="1"/>
    <col min="4595" max="4597" width="10.5" bestFit="1" customWidth="1"/>
    <col min="4835" max="4835" width="0.83203125" customWidth="1"/>
    <col min="4836" max="4836" width="57.5" customWidth="1"/>
    <col min="4837" max="4837" width="1.33203125" customWidth="1"/>
    <col min="4838" max="4842" width="10.5" customWidth="1"/>
    <col min="4843" max="4843" width="12.1640625" customWidth="1"/>
    <col min="4844" max="4844" width="10.6640625" customWidth="1"/>
    <col min="4845" max="4845" width="23" customWidth="1"/>
    <col min="4846" max="4846" width="4.83203125" customWidth="1"/>
    <col min="4851" max="4853" width="10.5" bestFit="1" customWidth="1"/>
    <col min="5091" max="5091" width="0.83203125" customWidth="1"/>
    <col min="5092" max="5092" width="57.5" customWidth="1"/>
    <col min="5093" max="5093" width="1.33203125" customWidth="1"/>
    <col min="5094" max="5098" width="10.5" customWidth="1"/>
    <col min="5099" max="5099" width="12.1640625" customWidth="1"/>
    <col min="5100" max="5100" width="10.6640625" customWidth="1"/>
    <col min="5101" max="5101" width="23" customWidth="1"/>
    <col min="5102" max="5102" width="4.83203125" customWidth="1"/>
    <col min="5107" max="5109" width="10.5" bestFit="1" customWidth="1"/>
    <col min="5347" max="5347" width="0.83203125" customWidth="1"/>
    <col min="5348" max="5348" width="57.5" customWidth="1"/>
    <col min="5349" max="5349" width="1.33203125" customWidth="1"/>
    <col min="5350" max="5354" width="10.5" customWidth="1"/>
    <col min="5355" max="5355" width="12.1640625" customWidth="1"/>
    <col min="5356" max="5356" width="10.6640625" customWidth="1"/>
    <col min="5357" max="5357" width="23" customWidth="1"/>
    <col min="5358" max="5358" width="4.83203125" customWidth="1"/>
    <col min="5363" max="5365" width="10.5" bestFit="1" customWidth="1"/>
    <col min="5603" max="5603" width="0.83203125" customWidth="1"/>
    <col min="5604" max="5604" width="57.5" customWidth="1"/>
    <col min="5605" max="5605" width="1.33203125" customWidth="1"/>
    <col min="5606" max="5610" width="10.5" customWidth="1"/>
    <col min="5611" max="5611" width="12.1640625" customWidth="1"/>
    <col min="5612" max="5612" width="10.6640625" customWidth="1"/>
    <col min="5613" max="5613" width="23" customWidth="1"/>
    <col min="5614" max="5614" width="4.83203125" customWidth="1"/>
    <col min="5619" max="5621" width="10.5" bestFit="1" customWidth="1"/>
    <col min="5859" max="5859" width="0.83203125" customWidth="1"/>
    <col min="5860" max="5860" width="57.5" customWidth="1"/>
    <col min="5861" max="5861" width="1.33203125" customWidth="1"/>
    <col min="5862" max="5866" width="10.5" customWidth="1"/>
    <col min="5867" max="5867" width="12.1640625" customWidth="1"/>
    <col min="5868" max="5868" width="10.6640625" customWidth="1"/>
    <col min="5869" max="5869" width="23" customWidth="1"/>
    <col min="5870" max="5870" width="4.83203125" customWidth="1"/>
    <col min="5875" max="5877" width="10.5" bestFit="1" customWidth="1"/>
    <col min="6115" max="6115" width="0.83203125" customWidth="1"/>
    <col min="6116" max="6116" width="57.5" customWidth="1"/>
    <col min="6117" max="6117" width="1.33203125" customWidth="1"/>
    <col min="6118" max="6122" width="10.5" customWidth="1"/>
    <col min="6123" max="6123" width="12.1640625" customWidth="1"/>
    <col min="6124" max="6124" width="10.6640625" customWidth="1"/>
    <col min="6125" max="6125" width="23" customWidth="1"/>
    <col min="6126" max="6126" width="4.83203125" customWidth="1"/>
    <col min="6131" max="6133" width="10.5" bestFit="1" customWidth="1"/>
    <col min="6371" max="6371" width="0.83203125" customWidth="1"/>
    <col min="6372" max="6372" width="57.5" customWidth="1"/>
    <col min="6373" max="6373" width="1.33203125" customWidth="1"/>
    <col min="6374" max="6378" width="10.5" customWidth="1"/>
    <col min="6379" max="6379" width="12.1640625" customWidth="1"/>
    <col min="6380" max="6380" width="10.6640625" customWidth="1"/>
    <col min="6381" max="6381" width="23" customWidth="1"/>
    <col min="6382" max="6382" width="4.83203125" customWidth="1"/>
    <col min="6387" max="6389" width="10.5" bestFit="1" customWidth="1"/>
    <col min="6627" max="6627" width="0.83203125" customWidth="1"/>
    <col min="6628" max="6628" width="57.5" customWidth="1"/>
    <col min="6629" max="6629" width="1.33203125" customWidth="1"/>
    <col min="6630" max="6634" width="10.5" customWidth="1"/>
    <col min="6635" max="6635" width="12.1640625" customWidth="1"/>
    <col min="6636" max="6636" width="10.6640625" customWidth="1"/>
    <col min="6637" max="6637" width="23" customWidth="1"/>
    <col min="6638" max="6638" width="4.83203125" customWidth="1"/>
    <col min="6643" max="6645" width="10.5" bestFit="1" customWidth="1"/>
    <col min="6883" max="6883" width="0.83203125" customWidth="1"/>
    <col min="6884" max="6884" width="57.5" customWidth="1"/>
    <col min="6885" max="6885" width="1.33203125" customWidth="1"/>
    <col min="6886" max="6890" width="10.5" customWidth="1"/>
    <col min="6891" max="6891" width="12.1640625" customWidth="1"/>
    <col min="6892" max="6892" width="10.6640625" customWidth="1"/>
    <col min="6893" max="6893" width="23" customWidth="1"/>
    <col min="6894" max="6894" width="4.83203125" customWidth="1"/>
    <col min="6899" max="6901" width="10.5" bestFit="1" customWidth="1"/>
    <col min="7139" max="7139" width="0.83203125" customWidth="1"/>
    <col min="7140" max="7140" width="57.5" customWidth="1"/>
    <col min="7141" max="7141" width="1.33203125" customWidth="1"/>
    <col min="7142" max="7146" width="10.5" customWidth="1"/>
    <col min="7147" max="7147" width="12.1640625" customWidth="1"/>
    <col min="7148" max="7148" width="10.6640625" customWidth="1"/>
    <col min="7149" max="7149" width="23" customWidth="1"/>
    <col min="7150" max="7150" width="4.83203125" customWidth="1"/>
    <col min="7155" max="7157" width="10.5" bestFit="1" customWidth="1"/>
    <col min="7395" max="7395" width="0.83203125" customWidth="1"/>
    <col min="7396" max="7396" width="57.5" customWidth="1"/>
    <col min="7397" max="7397" width="1.33203125" customWidth="1"/>
    <col min="7398" max="7402" width="10.5" customWidth="1"/>
    <col min="7403" max="7403" width="12.1640625" customWidth="1"/>
    <col min="7404" max="7404" width="10.6640625" customWidth="1"/>
    <col min="7405" max="7405" width="23" customWidth="1"/>
    <col min="7406" max="7406" width="4.83203125" customWidth="1"/>
    <col min="7411" max="7413" width="10.5" bestFit="1" customWidth="1"/>
    <col min="7651" max="7651" width="0.83203125" customWidth="1"/>
    <col min="7652" max="7652" width="57.5" customWidth="1"/>
    <col min="7653" max="7653" width="1.33203125" customWidth="1"/>
    <col min="7654" max="7658" width="10.5" customWidth="1"/>
    <col min="7659" max="7659" width="12.1640625" customWidth="1"/>
    <col min="7660" max="7660" width="10.6640625" customWidth="1"/>
    <col min="7661" max="7661" width="23" customWidth="1"/>
    <col min="7662" max="7662" width="4.83203125" customWidth="1"/>
    <col min="7667" max="7669" width="10.5" bestFit="1" customWidth="1"/>
    <col min="7907" max="7907" width="0.83203125" customWidth="1"/>
    <col min="7908" max="7908" width="57.5" customWidth="1"/>
    <col min="7909" max="7909" width="1.33203125" customWidth="1"/>
    <col min="7910" max="7914" width="10.5" customWidth="1"/>
    <col min="7915" max="7915" width="12.1640625" customWidth="1"/>
    <col min="7916" max="7916" width="10.6640625" customWidth="1"/>
    <col min="7917" max="7917" width="23" customWidth="1"/>
    <col min="7918" max="7918" width="4.83203125" customWidth="1"/>
    <col min="7923" max="7925" width="10.5" bestFit="1" customWidth="1"/>
    <col min="8163" max="8163" width="0.83203125" customWidth="1"/>
    <col min="8164" max="8164" width="57.5" customWidth="1"/>
    <col min="8165" max="8165" width="1.33203125" customWidth="1"/>
    <col min="8166" max="8170" width="10.5" customWidth="1"/>
    <col min="8171" max="8171" width="12.1640625" customWidth="1"/>
    <col min="8172" max="8172" width="10.6640625" customWidth="1"/>
    <col min="8173" max="8173" width="23" customWidth="1"/>
    <col min="8174" max="8174" width="4.83203125" customWidth="1"/>
    <col min="8179" max="8181" width="10.5" bestFit="1" customWidth="1"/>
    <col min="8419" max="8419" width="0.83203125" customWidth="1"/>
    <col min="8420" max="8420" width="57.5" customWidth="1"/>
    <col min="8421" max="8421" width="1.33203125" customWidth="1"/>
    <col min="8422" max="8426" width="10.5" customWidth="1"/>
    <col min="8427" max="8427" width="12.1640625" customWidth="1"/>
    <col min="8428" max="8428" width="10.6640625" customWidth="1"/>
    <col min="8429" max="8429" width="23" customWidth="1"/>
    <col min="8430" max="8430" width="4.83203125" customWidth="1"/>
    <col min="8435" max="8437" width="10.5" bestFit="1" customWidth="1"/>
    <col min="8675" max="8675" width="0.83203125" customWidth="1"/>
    <col min="8676" max="8676" width="57.5" customWidth="1"/>
    <col min="8677" max="8677" width="1.33203125" customWidth="1"/>
    <col min="8678" max="8682" width="10.5" customWidth="1"/>
    <col min="8683" max="8683" width="12.1640625" customWidth="1"/>
    <col min="8684" max="8684" width="10.6640625" customWidth="1"/>
    <col min="8685" max="8685" width="23" customWidth="1"/>
    <col min="8686" max="8686" width="4.83203125" customWidth="1"/>
    <col min="8691" max="8693" width="10.5" bestFit="1" customWidth="1"/>
    <col min="8931" max="8931" width="0.83203125" customWidth="1"/>
    <col min="8932" max="8932" width="57.5" customWidth="1"/>
    <col min="8933" max="8933" width="1.33203125" customWidth="1"/>
    <col min="8934" max="8938" width="10.5" customWidth="1"/>
    <col min="8939" max="8939" width="12.1640625" customWidth="1"/>
    <col min="8940" max="8940" width="10.6640625" customWidth="1"/>
    <col min="8941" max="8941" width="23" customWidth="1"/>
    <col min="8942" max="8942" width="4.83203125" customWidth="1"/>
    <col min="8947" max="8949" width="10.5" bestFit="1" customWidth="1"/>
    <col min="9187" max="9187" width="0.83203125" customWidth="1"/>
    <col min="9188" max="9188" width="57.5" customWidth="1"/>
    <col min="9189" max="9189" width="1.33203125" customWidth="1"/>
    <col min="9190" max="9194" width="10.5" customWidth="1"/>
    <col min="9195" max="9195" width="12.1640625" customWidth="1"/>
    <col min="9196" max="9196" width="10.6640625" customWidth="1"/>
    <col min="9197" max="9197" width="23" customWidth="1"/>
    <col min="9198" max="9198" width="4.83203125" customWidth="1"/>
    <col min="9203" max="9205" width="10.5" bestFit="1" customWidth="1"/>
    <col min="9443" max="9443" width="0.83203125" customWidth="1"/>
    <col min="9444" max="9444" width="57.5" customWidth="1"/>
    <col min="9445" max="9445" width="1.33203125" customWidth="1"/>
    <col min="9446" max="9450" width="10.5" customWidth="1"/>
    <col min="9451" max="9451" width="12.1640625" customWidth="1"/>
    <col min="9452" max="9452" width="10.6640625" customWidth="1"/>
    <col min="9453" max="9453" width="23" customWidth="1"/>
    <col min="9454" max="9454" width="4.83203125" customWidth="1"/>
    <col min="9459" max="9461" width="10.5" bestFit="1" customWidth="1"/>
    <col min="9699" max="9699" width="0.83203125" customWidth="1"/>
    <col min="9700" max="9700" width="57.5" customWidth="1"/>
    <col min="9701" max="9701" width="1.33203125" customWidth="1"/>
    <col min="9702" max="9706" width="10.5" customWidth="1"/>
    <col min="9707" max="9707" width="12.1640625" customWidth="1"/>
    <col min="9708" max="9708" width="10.6640625" customWidth="1"/>
    <col min="9709" max="9709" width="23" customWidth="1"/>
    <col min="9710" max="9710" width="4.83203125" customWidth="1"/>
    <col min="9715" max="9717" width="10.5" bestFit="1" customWidth="1"/>
    <col min="9955" max="9955" width="0.83203125" customWidth="1"/>
    <col min="9956" max="9956" width="57.5" customWidth="1"/>
    <col min="9957" max="9957" width="1.33203125" customWidth="1"/>
    <col min="9958" max="9962" width="10.5" customWidth="1"/>
    <col min="9963" max="9963" width="12.1640625" customWidth="1"/>
    <col min="9964" max="9964" width="10.6640625" customWidth="1"/>
    <col min="9965" max="9965" width="23" customWidth="1"/>
    <col min="9966" max="9966" width="4.83203125" customWidth="1"/>
    <col min="9971" max="9973" width="10.5" bestFit="1" customWidth="1"/>
    <col min="10211" max="10211" width="0.83203125" customWidth="1"/>
    <col min="10212" max="10212" width="57.5" customWidth="1"/>
    <col min="10213" max="10213" width="1.33203125" customWidth="1"/>
    <col min="10214" max="10218" width="10.5" customWidth="1"/>
    <col min="10219" max="10219" width="12.1640625" customWidth="1"/>
    <col min="10220" max="10220" width="10.6640625" customWidth="1"/>
    <col min="10221" max="10221" width="23" customWidth="1"/>
    <col min="10222" max="10222" width="4.83203125" customWidth="1"/>
    <col min="10227" max="10229" width="10.5" bestFit="1" customWidth="1"/>
    <col min="10467" max="10467" width="0.83203125" customWidth="1"/>
    <col min="10468" max="10468" width="57.5" customWidth="1"/>
    <col min="10469" max="10469" width="1.33203125" customWidth="1"/>
    <col min="10470" max="10474" width="10.5" customWidth="1"/>
    <col min="10475" max="10475" width="12.1640625" customWidth="1"/>
    <col min="10476" max="10476" width="10.6640625" customWidth="1"/>
    <col min="10477" max="10477" width="23" customWidth="1"/>
    <col min="10478" max="10478" width="4.83203125" customWidth="1"/>
    <col min="10483" max="10485" width="10.5" bestFit="1" customWidth="1"/>
    <col min="10723" max="10723" width="0.83203125" customWidth="1"/>
    <col min="10724" max="10724" width="57.5" customWidth="1"/>
    <col min="10725" max="10725" width="1.33203125" customWidth="1"/>
    <col min="10726" max="10730" width="10.5" customWidth="1"/>
    <col min="10731" max="10731" width="12.1640625" customWidth="1"/>
    <col min="10732" max="10732" width="10.6640625" customWidth="1"/>
    <col min="10733" max="10733" width="23" customWidth="1"/>
    <col min="10734" max="10734" width="4.83203125" customWidth="1"/>
    <col min="10739" max="10741" width="10.5" bestFit="1" customWidth="1"/>
    <col min="10979" max="10979" width="0.83203125" customWidth="1"/>
    <col min="10980" max="10980" width="57.5" customWidth="1"/>
    <col min="10981" max="10981" width="1.33203125" customWidth="1"/>
    <col min="10982" max="10986" width="10.5" customWidth="1"/>
    <col min="10987" max="10987" width="12.1640625" customWidth="1"/>
    <col min="10988" max="10988" width="10.6640625" customWidth="1"/>
    <col min="10989" max="10989" width="23" customWidth="1"/>
    <col min="10990" max="10990" width="4.83203125" customWidth="1"/>
    <col min="10995" max="10997" width="10.5" bestFit="1" customWidth="1"/>
    <col min="11235" max="11235" width="0.83203125" customWidth="1"/>
    <col min="11236" max="11236" width="57.5" customWidth="1"/>
    <col min="11237" max="11237" width="1.33203125" customWidth="1"/>
    <col min="11238" max="11242" width="10.5" customWidth="1"/>
    <col min="11243" max="11243" width="12.1640625" customWidth="1"/>
    <col min="11244" max="11244" width="10.6640625" customWidth="1"/>
    <col min="11245" max="11245" width="23" customWidth="1"/>
    <col min="11246" max="11246" width="4.83203125" customWidth="1"/>
    <col min="11251" max="11253" width="10.5" bestFit="1" customWidth="1"/>
    <col min="11491" max="11491" width="0.83203125" customWidth="1"/>
    <col min="11492" max="11492" width="57.5" customWidth="1"/>
    <col min="11493" max="11493" width="1.33203125" customWidth="1"/>
    <col min="11494" max="11498" width="10.5" customWidth="1"/>
    <col min="11499" max="11499" width="12.1640625" customWidth="1"/>
    <col min="11500" max="11500" width="10.6640625" customWidth="1"/>
    <col min="11501" max="11501" width="23" customWidth="1"/>
    <col min="11502" max="11502" width="4.83203125" customWidth="1"/>
    <col min="11507" max="11509" width="10.5" bestFit="1" customWidth="1"/>
    <col min="11747" max="11747" width="0.83203125" customWidth="1"/>
    <col min="11748" max="11748" width="57.5" customWidth="1"/>
    <col min="11749" max="11749" width="1.33203125" customWidth="1"/>
    <col min="11750" max="11754" width="10.5" customWidth="1"/>
    <col min="11755" max="11755" width="12.1640625" customWidth="1"/>
    <col min="11756" max="11756" width="10.6640625" customWidth="1"/>
    <col min="11757" max="11757" width="23" customWidth="1"/>
    <col min="11758" max="11758" width="4.83203125" customWidth="1"/>
    <col min="11763" max="11765" width="10.5" bestFit="1" customWidth="1"/>
    <col min="12003" max="12003" width="0.83203125" customWidth="1"/>
    <col min="12004" max="12004" width="57.5" customWidth="1"/>
    <col min="12005" max="12005" width="1.33203125" customWidth="1"/>
    <col min="12006" max="12010" width="10.5" customWidth="1"/>
    <col min="12011" max="12011" width="12.1640625" customWidth="1"/>
    <col min="12012" max="12012" width="10.6640625" customWidth="1"/>
    <col min="12013" max="12013" width="23" customWidth="1"/>
    <col min="12014" max="12014" width="4.83203125" customWidth="1"/>
    <col min="12019" max="12021" width="10.5" bestFit="1" customWidth="1"/>
    <col min="12259" max="12259" width="0.83203125" customWidth="1"/>
    <col min="12260" max="12260" width="57.5" customWidth="1"/>
    <col min="12261" max="12261" width="1.33203125" customWidth="1"/>
    <col min="12262" max="12266" width="10.5" customWidth="1"/>
    <col min="12267" max="12267" width="12.1640625" customWidth="1"/>
    <col min="12268" max="12268" width="10.6640625" customWidth="1"/>
    <col min="12269" max="12269" width="23" customWidth="1"/>
    <col min="12270" max="12270" width="4.83203125" customWidth="1"/>
    <col min="12275" max="12277" width="10.5" bestFit="1" customWidth="1"/>
    <col min="12515" max="12515" width="0.83203125" customWidth="1"/>
    <col min="12516" max="12516" width="57.5" customWidth="1"/>
    <col min="12517" max="12517" width="1.33203125" customWidth="1"/>
    <col min="12518" max="12522" width="10.5" customWidth="1"/>
    <col min="12523" max="12523" width="12.1640625" customWidth="1"/>
    <col min="12524" max="12524" width="10.6640625" customWidth="1"/>
    <col min="12525" max="12525" width="23" customWidth="1"/>
    <col min="12526" max="12526" width="4.83203125" customWidth="1"/>
    <col min="12531" max="12533" width="10.5" bestFit="1" customWidth="1"/>
    <col min="12771" max="12771" width="0.83203125" customWidth="1"/>
    <col min="12772" max="12772" width="57.5" customWidth="1"/>
    <col min="12773" max="12773" width="1.33203125" customWidth="1"/>
    <col min="12774" max="12778" width="10.5" customWidth="1"/>
    <col min="12779" max="12779" width="12.1640625" customWidth="1"/>
    <col min="12780" max="12780" width="10.6640625" customWidth="1"/>
    <col min="12781" max="12781" width="23" customWidth="1"/>
    <col min="12782" max="12782" width="4.83203125" customWidth="1"/>
    <col min="12787" max="12789" width="10.5" bestFit="1" customWidth="1"/>
    <col min="13027" max="13027" width="0.83203125" customWidth="1"/>
    <col min="13028" max="13028" width="57.5" customWidth="1"/>
    <col min="13029" max="13029" width="1.33203125" customWidth="1"/>
    <col min="13030" max="13034" width="10.5" customWidth="1"/>
    <col min="13035" max="13035" width="12.1640625" customWidth="1"/>
    <col min="13036" max="13036" width="10.6640625" customWidth="1"/>
    <col min="13037" max="13037" width="23" customWidth="1"/>
    <col min="13038" max="13038" width="4.83203125" customWidth="1"/>
    <col min="13043" max="13045" width="10.5" bestFit="1" customWidth="1"/>
    <col min="13283" max="13283" width="0.83203125" customWidth="1"/>
    <col min="13284" max="13284" width="57.5" customWidth="1"/>
    <col min="13285" max="13285" width="1.33203125" customWidth="1"/>
    <col min="13286" max="13290" width="10.5" customWidth="1"/>
    <col min="13291" max="13291" width="12.1640625" customWidth="1"/>
    <col min="13292" max="13292" width="10.6640625" customWidth="1"/>
    <col min="13293" max="13293" width="23" customWidth="1"/>
    <col min="13294" max="13294" width="4.83203125" customWidth="1"/>
    <col min="13299" max="13301" width="10.5" bestFit="1" customWidth="1"/>
    <col min="13539" max="13539" width="0.83203125" customWidth="1"/>
    <col min="13540" max="13540" width="57.5" customWidth="1"/>
    <col min="13541" max="13541" width="1.33203125" customWidth="1"/>
    <col min="13542" max="13546" width="10.5" customWidth="1"/>
    <col min="13547" max="13547" width="12.1640625" customWidth="1"/>
    <col min="13548" max="13548" width="10.6640625" customWidth="1"/>
    <col min="13549" max="13549" width="23" customWidth="1"/>
    <col min="13550" max="13550" width="4.83203125" customWidth="1"/>
    <col min="13555" max="13557" width="10.5" bestFit="1" customWidth="1"/>
    <col min="13795" max="13795" width="0.83203125" customWidth="1"/>
    <col min="13796" max="13796" width="57.5" customWidth="1"/>
    <col min="13797" max="13797" width="1.33203125" customWidth="1"/>
    <col min="13798" max="13802" width="10.5" customWidth="1"/>
    <col min="13803" max="13803" width="12.1640625" customWidth="1"/>
    <col min="13804" max="13804" width="10.6640625" customWidth="1"/>
    <col min="13805" max="13805" width="23" customWidth="1"/>
    <col min="13806" max="13806" width="4.83203125" customWidth="1"/>
    <col min="13811" max="13813" width="10.5" bestFit="1" customWidth="1"/>
    <col min="14051" max="14051" width="0.83203125" customWidth="1"/>
    <col min="14052" max="14052" width="57.5" customWidth="1"/>
    <col min="14053" max="14053" width="1.33203125" customWidth="1"/>
    <col min="14054" max="14058" width="10.5" customWidth="1"/>
    <col min="14059" max="14059" width="12.1640625" customWidth="1"/>
    <col min="14060" max="14060" width="10.6640625" customWidth="1"/>
    <col min="14061" max="14061" width="23" customWidth="1"/>
    <col min="14062" max="14062" width="4.83203125" customWidth="1"/>
    <col min="14067" max="14069" width="10.5" bestFit="1" customWidth="1"/>
    <col min="14307" max="14307" width="0.83203125" customWidth="1"/>
    <col min="14308" max="14308" width="57.5" customWidth="1"/>
    <col min="14309" max="14309" width="1.33203125" customWidth="1"/>
    <col min="14310" max="14314" width="10.5" customWidth="1"/>
    <col min="14315" max="14315" width="12.1640625" customWidth="1"/>
    <col min="14316" max="14316" width="10.6640625" customWidth="1"/>
    <col min="14317" max="14317" width="23" customWidth="1"/>
    <col min="14318" max="14318" width="4.83203125" customWidth="1"/>
    <col min="14323" max="14325" width="10.5" bestFit="1" customWidth="1"/>
    <col min="14563" max="14563" width="0.83203125" customWidth="1"/>
    <col min="14564" max="14564" width="57.5" customWidth="1"/>
    <col min="14565" max="14565" width="1.33203125" customWidth="1"/>
    <col min="14566" max="14570" width="10.5" customWidth="1"/>
    <col min="14571" max="14571" width="12.1640625" customWidth="1"/>
    <col min="14572" max="14572" width="10.6640625" customWidth="1"/>
    <col min="14573" max="14573" width="23" customWidth="1"/>
    <col min="14574" max="14574" width="4.83203125" customWidth="1"/>
    <col min="14579" max="14581" width="10.5" bestFit="1" customWidth="1"/>
    <col min="14819" max="14819" width="0.83203125" customWidth="1"/>
    <col min="14820" max="14820" width="57.5" customWidth="1"/>
    <col min="14821" max="14821" width="1.33203125" customWidth="1"/>
    <col min="14822" max="14826" width="10.5" customWidth="1"/>
    <col min="14827" max="14827" width="12.1640625" customWidth="1"/>
    <col min="14828" max="14828" width="10.6640625" customWidth="1"/>
    <col min="14829" max="14829" width="23" customWidth="1"/>
    <col min="14830" max="14830" width="4.83203125" customWidth="1"/>
    <col min="14835" max="14837" width="10.5" bestFit="1" customWidth="1"/>
    <col min="15075" max="15075" width="0.83203125" customWidth="1"/>
    <col min="15076" max="15076" width="57.5" customWidth="1"/>
    <col min="15077" max="15077" width="1.33203125" customWidth="1"/>
    <col min="15078" max="15082" width="10.5" customWidth="1"/>
    <col min="15083" max="15083" width="12.1640625" customWidth="1"/>
    <col min="15084" max="15084" width="10.6640625" customWidth="1"/>
    <col min="15085" max="15085" width="23" customWidth="1"/>
    <col min="15086" max="15086" width="4.83203125" customWidth="1"/>
    <col min="15091" max="15093" width="10.5" bestFit="1" customWidth="1"/>
    <col min="15331" max="15331" width="0.83203125" customWidth="1"/>
    <col min="15332" max="15332" width="57.5" customWidth="1"/>
    <col min="15333" max="15333" width="1.33203125" customWidth="1"/>
    <col min="15334" max="15338" width="10.5" customWidth="1"/>
    <col min="15339" max="15339" width="12.1640625" customWidth="1"/>
    <col min="15340" max="15340" width="10.6640625" customWidth="1"/>
    <col min="15341" max="15341" width="23" customWidth="1"/>
    <col min="15342" max="15342" width="4.83203125" customWidth="1"/>
    <col min="15347" max="15349" width="10.5" bestFit="1" customWidth="1"/>
    <col min="15587" max="15587" width="0.83203125" customWidth="1"/>
    <col min="15588" max="15588" width="57.5" customWidth="1"/>
    <col min="15589" max="15589" width="1.33203125" customWidth="1"/>
    <col min="15590" max="15594" width="10.5" customWidth="1"/>
    <col min="15595" max="15595" width="12.1640625" customWidth="1"/>
    <col min="15596" max="15596" width="10.6640625" customWidth="1"/>
    <col min="15597" max="15597" width="23" customWidth="1"/>
    <col min="15598" max="15598" width="4.83203125" customWidth="1"/>
    <col min="15603" max="15605" width="10.5" bestFit="1" customWidth="1"/>
    <col min="15843" max="15843" width="0.83203125" customWidth="1"/>
    <col min="15844" max="15844" width="57.5" customWidth="1"/>
    <col min="15845" max="15845" width="1.33203125" customWidth="1"/>
    <col min="15846" max="15850" width="10.5" customWidth="1"/>
    <col min="15851" max="15851" width="12.1640625" customWidth="1"/>
    <col min="15852" max="15852" width="10.6640625" customWidth="1"/>
    <col min="15853" max="15853" width="23" customWidth="1"/>
    <col min="15854" max="15854" width="4.83203125" customWidth="1"/>
    <col min="15859" max="15861" width="10.5" bestFit="1" customWidth="1"/>
    <col min="16099" max="16099" width="0.83203125" customWidth="1"/>
    <col min="16100" max="16100" width="57.5" customWidth="1"/>
    <col min="16101" max="16101" width="1.33203125" customWidth="1"/>
    <col min="16102" max="16106" width="10.5" customWidth="1"/>
    <col min="16107" max="16107" width="12.1640625" customWidth="1"/>
    <col min="16108" max="16108" width="10.6640625" customWidth="1"/>
    <col min="16109" max="16109" width="23" customWidth="1"/>
    <col min="16110" max="16110" width="4.83203125" customWidth="1"/>
    <col min="16115" max="16117" width="10.5" bestFit="1" customWidth="1"/>
  </cols>
  <sheetData>
    <row r="2" spans="2:26" ht="21">
      <c r="B2" s="21" t="s">
        <v>102</v>
      </c>
      <c r="C2" s="20"/>
      <c r="D2" s="19"/>
      <c r="E2" s="19"/>
      <c r="F2" s="19"/>
      <c r="G2" s="19"/>
      <c r="H2" s="19"/>
      <c r="I2" s="19"/>
      <c r="J2" s="20"/>
    </row>
    <row r="3" spans="2:26" ht="21">
      <c r="B3" s="15" t="s">
        <v>43</v>
      </c>
      <c r="C3" s="20"/>
      <c r="D3" s="19"/>
      <c r="E3" s="19"/>
      <c r="F3" s="19"/>
      <c r="G3" s="19"/>
      <c r="H3" s="19"/>
      <c r="I3" s="19"/>
      <c r="J3" s="20"/>
    </row>
    <row r="4" spans="2:26" ht="14.25" customHeight="1">
      <c r="B4" s="265"/>
      <c r="C4" s="265"/>
      <c r="D4" s="266"/>
      <c r="E4" s="266"/>
      <c r="F4" s="266"/>
      <c r="G4" s="266"/>
      <c r="H4" s="266"/>
      <c r="I4" s="266"/>
      <c r="J4" s="265"/>
      <c r="K4" s="265"/>
    </row>
    <row r="5" spans="2:26" ht="21">
      <c r="B5" s="267" t="s">
        <v>0</v>
      </c>
      <c r="C5" s="268"/>
      <c r="D5" s="269">
        <v>2010</v>
      </c>
      <c r="E5" s="269">
        <v>2011</v>
      </c>
      <c r="F5" s="269">
        <v>2012</v>
      </c>
      <c r="G5" s="269">
        <v>2013</v>
      </c>
      <c r="H5" s="269">
        <v>2014</v>
      </c>
      <c r="I5" s="269">
        <v>2015</v>
      </c>
      <c r="J5" s="269">
        <v>2016</v>
      </c>
      <c r="K5" s="269">
        <v>2017</v>
      </c>
    </row>
    <row r="6" spans="2:26" ht="21">
      <c r="B6" s="198"/>
      <c r="C6" s="198"/>
      <c r="D6" s="23" t="s">
        <v>3</v>
      </c>
      <c r="E6" s="23" t="s">
        <v>3</v>
      </c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</row>
    <row r="7" spans="2:26" s="56" customFormat="1" ht="21">
      <c r="B7" s="198"/>
      <c r="C7" s="198"/>
      <c r="D7" s="23"/>
      <c r="E7" s="23"/>
      <c r="F7" s="23"/>
      <c r="G7" s="23"/>
      <c r="H7" s="23"/>
      <c r="I7" s="23"/>
      <c r="J7" s="23"/>
      <c r="K7" s="23"/>
    </row>
    <row r="8" spans="2:26" ht="21" customHeight="1">
      <c r="B8" s="203" t="s">
        <v>157</v>
      </c>
      <c r="C8" s="62"/>
      <c r="D8" s="204"/>
      <c r="E8" s="204"/>
      <c r="F8" s="204"/>
      <c r="G8" s="204"/>
      <c r="H8" s="204"/>
      <c r="I8" s="204"/>
      <c r="J8" s="204"/>
      <c r="K8" s="204">
        <v>105</v>
      </c>
    </row>
    <row r="9" spans="2:26" s="2" customFormat="1" ht="21" customHeight="1">
      <c r="B9" s="203" t="s">
        <v>221</v>
      </c>
      <c r="C9" s="62"/>
      <c r="D9" s="23"/>
      <c r="E9" s="23"/>
      <c r="F9" s="23"/>
      <c r="G9" s="23"/>
      <c r="H9" s="205" t="s">
        <v>2</v>
      </c>
      <c r="I9" s="205"/>
      <c r="J9" s="205"/>
      <c r="K9" s="205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2:26" s="2" customFormat="1" ht="21" customHeight="1">
      <c r="B10" s="270" t="s">
        <v>222</v>
      </c>
      <c r="C10" s="62"/>
      <c r="D10" s="23">
        <v>1931.085</v>
      </c>
      <c r="E10" s="23">
        <v>2986.9279999999999</v>
      </c>
      <c r="F10" s="23">
        <v>3019.3890000000001</v>
      </c>
      <c r="G10" s="23">
        <v>3655.6779999999999</v>
      </c>
      <c r="H10" s="205">
        <v>3108</v>
      </c>
      <c r="I10" s="205">
        <v>2707.8</v>
      </c>
      <c r="J10" s="205">
        <v>3104</v>
      </c>
      <c r="K10" s="205">
        <v>4685</v>
      </c>
      <c r="M10" s="152"/>
      <c r="N10" s="153"/>
      <c r="O10" s="154"/>
      <c r="P10" s="154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2:26" s="2" customFormat="1" ht="21" customHeight="1">
      <c r="B11" s="203" t="s">
        <v>116</v>
      </c>
      <c r="C11" s="62"/>
      <c r="D11" s="23">
        <f>SUM(D12:D15)</f>
        <v>882.755</v>
      </c>
      <c r="E11" s="23">
        <f t="shared" ref="E11:J11" si="0">SUM(E12:E15)</f>
        <v>1834.124</v>
      </c>
      <c r="F11" s="23">
        <f t="shared" si="0"/>
        <v>1901.405</v>
      </c>
      <c r="G11" s="23">
        <f t="shared" si="0"/>
        <v>2128.7159999999999</v>
      </c>
      <c r="H11" s="23">
        <f t="shared" si="0"/>
        <v>1923</v>
      </c>
      <c r="I11" s="23">
        <f t="shared" si="0"/>
        <v>1702.7999999999997</v>
      </c>
      <c r="J11" s="23">
        <f t="shared" si="0"/>
        <v>2453</v>
      </c>
      <c r="K11" s="23">
        <f t="shared" ref="K11" si="1">SUM(K12:K15)</f>
        <v>1940</v>
      </c>
      <c r="M11" s="152"/>
      <c r="N11" s="155"/>
      <c r="O11" s="95"/>
      <c r="P11" s="94"/>
      <c r="Q11" s="152"/>
      <c r="R11" s="152"/>
      <c r="S11" s="152"/>
      <c r="T11" s="152"/>
      <c r="U11" s="156"/>
      <c r="V11" s="156"/>
      <c r="W11" s="152"/>
      <c r="X11" s="152"/>
      <c r="Y11" s="152"/>
      <c r="Z11" s="152"/>
    </row>
    <row r="12" spans="2:26" ht="21" customHeight="1">
      <c r="B12" s="206" t="s">
        <v>14</v>
      </c>
      <c r="C12" s="62"/>
      <c r="D12" s="23">
        <v>4.18</v>
      </c>
      <c r="E12" s="23">
        <v>14.355</v>
      </c>
      <c r="F12" s="23">
        <v>12.537000000000001</v>
      </c>
      <c r="G12" s="23">
        <v>9.7469999999999999</v>
      </c>
      <c r="H12" s="205">
        <v>10</v>
      </c>
      <c r="I12" s="205">
        <v>8.8000000000000007</v>
      </c>
      <c r="J12" s="205">
        <v>7</v>
      </c>
      <c r="K12" s="205">
        <v>20</v>
      </c>
      <c r="M12" s="151"/>
      <c r="N12" s="155"/>
      <c r="O12" s="95"/>
      <c r="P12" s="94"/>
      <c r="Q12" s="151"/>
      <c r="R12" s="151"/>
      <c r="S12" s="151"/>
      <c r="T12" s="151"/>
      <c r="U12" s="156"/>
      <c r="V12" s="156"/>
      <c r="W12" s="151"/>
      <c r="X12" s="151"/>
      <c r="Y12" s="151"/>
      <c r="Z12" s="151"/>
    </row>
    <row r="13" spans="2:26" s="4" customFormat="1" ht="21" customHeight="1">
      <c r="B13" s="206" t="s">
        <v>15</v>
      </c>
      <c r="C13" s="62"/>
      <c r="D13" s="23">
        <v>748.61500000000001</v>
      </c>
      <c r="E13" s="23">
        <v>1003.33</v>
      </c>
      <c r="F13" s="23">
        <v>1253.7639999999999</v>
      </c>
      <c r="G13" s="23">
        <v>1205.0730000000001</v>
      </c>
      <c r="H13" s="205">
        <v>1263</v>
      </c>
      <c r="I13" s="205">
        <v>1109.8</v>
      </c>
      <c r="J13" s="205">
        <v>1523</v>
      </c>
      <c r="K13" s="205">
        <v>1130</v>
      </c>
      <c r="M13" s="157"/>
      <c r="N13" s="155"/>
      <c r="O13" s="95"/>
      <c r="P13" s="94"/>
      <c r="Q13" s="157"/>
      <c r="R13" s="157"/>
      <c r="S13" s="157"/>
      <c r="T13" s="157"/>
      <c r="U13" s="156"/>
      <c r="V13" s="156"/>
      <c r="W13" s="157"/>
      <c r="X13" s="157"/>
      <c r="Y13" s="157"/>
      <c r="Z13" s="157"/>
    </row>
    <row r="14" spans="2:26" s="4" customFormat="1" ht="21" customHeight="1">
      <c r="B14" s="206" t="s">
        <v>16</v>
      </c>
      <c r="C14" s="62"/>
      <c r="D14" s="23">
        <v>129.96</v>
      </c>
      <c r="E14" s="23">
        <v>816.43899999999996</v>
      </c>
      <c r="F14" s="23">
        <v>635.10400000000004</v>
      </c>
      <c r="G14" s="23">
        <v>903.53700000000003</v>
      </c>
      <c r="H14" s="205">
        <v>634</v>
      </c>
      <c r="I14" s="205">
        <v>574.6</v>
      </c>
      <c r="J14" s="205">
        <v>867</v>
      </c>
      <c r="K14" s="205">
        <v>716</v>
      </c>
      <c r="M14" s="157"/>
      <c r="N14" s="155"/>
      <c r="O14" s="95"/>
      <c r="P14" s="94"/>
      <c r="Q14" s="157"/>
      <c r="R14" s="157"/>
      <c r="S14" s="157"/>
      <c r="T14" s="157"/>
      <c r="U14" s="156"/>
      <c r="V14" s="156"/>
      <c r="W14" s="157"/>
      <c r="X14" s="157"/>
      <c r="Y14" s="157"/>
      <c r="Z14" s="157"/>
    </row>
    <row r="15" spans="2:26" s="4" customFormat="1" ht="21" customHeight="1">
      <c r="B15" s="206" t="s">
        <v>25</v>
      </c>
      <c r="C15" s="62"/>
      <c r="D15" s="23">
        <v>0</v>
      </c>
      <c r="E15" s="23">
        <v>0</v>
      </c>
      <c r="F15" s="23">
        <v>0</v>
      </c>
      <c r="G15" s="23">
        <v>10.359</v>
      </c>
      <c r="H15" s="205">
        <v>16</v>
      </c>
      <c r="I15" s="205">
        <v>9.6</v>
      </c>
      <c r="J15" s="205">
        <v>56</v>
      </c>
      <c r="K15" s="205">
        <v>74</v>
      </c>
      <c r="M15" s="157"/>
      <c r="N15" s="155"/>
      <c r="O15" s="95"/>
      <c r="P15" s="94"/>
      <c r="Q15" s="157"/>
      <c r="R15" s="157"/>
      <c r="S15" s="157"/>
      <c r="T15" s="157"/>
      <c r="U15" s="156"/>
      <c r="V15" s="156"/>
      <c r="W15" s="157"/>
      <c r="X15" s="157"/>
      <c r="Y15" s="157"/>
      <c r="Z15" s="157"/>
    </row>
    <row r="16" spans="2:26" s="4" customFormat="1" ht="21" customHeight="1">
      <c r="B16" s="206"/>
      <c r="C16" s="62"/>
      <c r="D16" s="23"/>
      <c r="E16" s="23"/>
      <c r="F16" s="23"/>
      <c r="G16" s="23"/>
      <c r="H16" s="205"/>
      <c r="I16" s="205"/>
      <c r="J16" s="205"/>
      <c r="K16" s="205"/>
      <c r="M16" s="157"/>
      <c r="N16" s="155"/>
      <c r="O16" s="95"/>
      <c r="P16" s="94"/>
      <c r="Q16" s="157"/>
      <c r="R16" s="157"/>
      <c r="S16" s="157"/>
      <c r="T16" s="157"/>
      <c r="U16" s="156"/>
      <c r="V16" s="156"/>
      <c r="W16" s="157"/>
      <c r="X16" s="157"/>
      <c r="Y16" s="157"/>
      <c r="Z16" s="157"/>
    </row>
    <row r="17" spans="2:26" s="6" customFormat="1" ht="25.5" customHeight="1">
      <c r="B17" s="207" t="s">
        <v>27</v>
      </c>
      <c r="C17" s="200"/>
      <c r="D17" s="201">
        <f t="shared" ref="D17:I17" si="2">SUM(D10:D11)</f>
        <v>2813.84</v>
      </c>
      <c r="E17" s="201">
        <f t="shared" si="2"/>
        <v>4821.0519999999997</v>
      </c>
      <c r="F17" s="201">
        <f t="shared" si="2"/>
        <v>4920.7939999999999</v>
      </c>
      <c r="G17" s="201">
        <f t="shared" si="2"/>
        <v>5784.3940000000002</v>
      </c>
      <c r="H17" s="201">
        <f t="shared" si="2"/>
        <v>5031</v>
      </c>
      <c r="I17" s="201">
        <f t="shared" si="2"/>
        <v>4410.6000000000004</v>
      </c>
      <c r="J17" s="201">
        <f>SUM(J10:J11)</f>
        <v>5557</v>
      </c>
      <c r="K17" s="201">
        <f>SUM(K8:K11)</f>
        <v>6730</v>
      </c>
      <c r="M17" s="157"/>
      <c r="N17" s="155"/>
      <c r="O17" s="95"/>
      <c r="P17" s="94"/>
      <c r="Q17" s="157"/>
      <c r="R17" s="157"/>
      <c r="S17" s="157"/>
      <c r="T17" s="157"/>
      <c r="U17" s="156"/>
      <c r="V17" s="156"/>
      <c r="W17" s="157"/>
      <c r="X17" s="157"/>
      <c r="Y17" s="157"/>
      <c r="Z17" s="157"/>
    </row>
    <row r="18" spans="2:26" s="5" customFormat="1" ht="21" customHeight="1">
      <c r="B18" s="198"/>
      <c r="C18" s="62"/>
      <c r="D18" s="64"/>
      <c r="E18" s="64"/>
      <c r="F18" s="64"/>
      <c r="G18" s="64"/>
      <c r="H18" s="64"/>
      <c r="I18" s="64"/>
      <c r="J18" s="64"/>
      <c r="K18" s="64"/>
      <c r="M18" s="158"/>
      <c r="N18" s="151"/>
      <c r="O18" s="151"/>
      <c r="P18" s="151"/>
      <c r="Q18" s="151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2:26" ht="21" customHeight="1">
      <c r="B19" s="203" t="s">
        <v>28</v>
      </c>
      <c r="C19" s="62"/>
      <c r="D19" s="64"/>
      <c r="E19" s="64"/>
      <c r="F19" s="64"/>
      <c r="G19" s="64"/>
      <c r="H19" s="64"/>
      <c r="I19" s="64"/>
      <c r="J19" s="64"/>
      <c r="K19" s="64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2:26" ht="21" customHeight="1">
      <c r="B20" s="198" t="s">
        <v>8</v>
      </c>
      <c r="C20" s="62"/>
      <c r="D20" s="63">
        <v>206.90199999999999</v>
      </c>
      <c r="E20" s="63">
        <v>162.37700000000001</v>
      </c>
      <c r="F20" s="63">
        <v>199.607</v>
      </c>
      <c r="G20" s="63">
        <v>705.68</v>
      </c>
      <c r="H20" s="63">
        <v>471</v>
      </c>
      <c r="I20" s="63">
        <v>1602</v>
      </c>
      <c r="J20" s="63">
        <v>1225</v>
      </c>
      <c r="K20" s="63">
        <v>1549</v>
      </c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 ht="21" customHeight="1">
      <c r="B21" s="198" t="s">
        <v>9</v>
      </c>
      <c r="C21" s="62"/>
      <c r="D21" s="63">
        <v>104.68300000000001</v>
      </c>
      <c r="E21" s="63">
        <v>151.054</v>
      </c>
      <c r="F21" s="63">
        <v>168.74100000000001</v>
      </c>
      <c r="G21" s="63">
        <v>211.977</v>
      </c>
      <c r="H21" s="63">
        <v>214</v>
      </c>
      <c r="I21" s="63">
        <v>263</v>
      </c>
      <c r="J21" s="63">
        <v>114</v>
      </c>
      <c r="K21" s="63">
        <v>63</v>
      </c>
      <c r="M21" s="151"/>
      <c r="N21" s="159"/>
      <c r="O21" s="160"/>
      <c r="P21" s="160"/>
      <c r="Q21" s="160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2:26" ht="21" customHeight="1">
      <c r="B22" s="198" t="s">
        <v>29</v>
      </c>
      <c r="C22" s="62"/>
      <c r="D22" s="63">
        <v>457.82499999999999</v>
      </c>
      <c r="E22" s="63">
        <v>427.553</v>
      </c>
      <c r="F22" s="63">
        <v>496.21499999999997</v>
      </c>
      <c r="G22" s="63">
        <v>605.03899999999999</v>
      </c>
      <c r="H22" s="63">
        <v>559</v>
      </c>
      <c r="I22" s="63">
        <v>959</v>
      </c>
      <c r="J22" s="63">
        <v>518</v>
      </c>
      <c r="K22" s="63">
        <v>772</v>
      </c>
      <c r="M22" s="151"/>
      <c r="N22" s="159"/>
      <c r="O22" s="160"/>
      <c r="P22" s="160"/>
      <c r="Q22" s="160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2:26" ht="21" customHeight="1">
      <c r="B23" s="198" t="s">
        <v>10</v>
      </c>
      <c r="C23" s="62"/>
      <c r="D23" s="63">
        <v>95.254000000000005</v>
      </c>
      <c r="E23" s="63">
        <v>225.74600000000001</v>
      </c>
      <c r="F23" s="63">
        <v>173.15199999999999</v>
      </c>
      <c r="G23" s="63">
        <v>460.77699999999999</v>
      </c>
      <c r="H23" s="63">
        <v>536</v>
      </c>
      <c r="I23" s="63">
        <v>546</v>
      </c>
      <c r="J23" s="63">
        <v>600</v>
      </c>
      <c r="K23" s="63">
        <v>432</v>
      </c>
      <c r="M23" s="151"/>
      <c r="N23" s="159"/>
      <c r="O23" s="160"/>
      <c r="P23" s="160"/>
      <c r="Q23" s="160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2:26" ht="21" customHeight="1">
      <c r="B24" s="198" t="s">
        <v>30</v>
      </c>
      <c r="C24" s="62"/>
      <c r="D24" s="63">
        <v>153.76599999999999</v>
      </c>
      <c r="E24" s="63">
        <v>85.826999999999998</v>
      </c>
      <c r="F24" s="63">
        <v>34.747</v>
      </c>
      <c r="G24" s="63">
        <v>35.020000000000003</v>
      </c>
      <c r="H24" s="63">
        <v>50</v>
      </c>
      <c r="I24" s="63">
        <v>33</v>
      </c>
      <c r="J24" s="63">
        <v>164</v>
      </c>
      <c r="K24" s="63">
        <v>165</v>
      </c>
      <c r="M24" s="151"/>
      <c r="N24" s="159"/>
      <c r="O24" s="160"/>
      <c r="P24" s="160"/>
      <c r="Q24" s="160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2:26" ht="21" customHeight="1">
      <c r="B25" s="198" t="s">
        <v>31</v>
      </c>
      <c r="C25" s="62"/>
      <c r="D25" s="63">
        <v>106.845</v>
      </c>
      <c r="E25" s="63">
        <v>305.01499999999999</v>
      </c>
      <c r="F25" s="63">
        <v>168.06200000000001</v>
      </c>
      <c r="G25" s="63">
        <v>185.874</v>
      </c>
      <c r="H25" s="63">
        <v>145</v>
      </c>
      <c r="I25" s="63"/>
      <c r="J25" s="63"/>
      <c r="K25" s="63"/>
      <c r="M25" s="151"/>
      <c r="N25" s="159"/>
      <c r="O25" s="160"/>
      <c r="P25" s="160"/>
      <c r="Q25" s="160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2:26" ht="21" customHeight="1">
      <c r="B26" s="198" t="s">
        <v>32</v>
      </c>
      <c r="C26" s="62"/>
      <c r="D26" s="63">
        <v>1403.3589999999999</v>
      </c>
      <c r="E26" s="63">
        <v>1922.008</v>
      </c>
      <c r="F26" s="63">
        <v>1779.2349999999999</v>
      </c>
      <c r="G26" s="63">
        <v>2259.585</v>
      </c>
      <c r="H26" s="63">
        <v>2363</v>
      </c>
      <c r="I26" s="63"/>
      <c r="J26" s="63"/>
      <c r="K26" s="63"/>
      <c r="M26" s="151"/>
      <c r="N26" s="159"/>
      <c r="O26" s="160"/>
      <c r="P26" s="160"/>
      <c r="Q26" s="160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2:26" ht="21" customHeight="1">
      <c r="B27" s="198" t="s">
        <v>33</v>
      </c>
      <c r="C27" s="62"/>
      <c r="D27" s="63">
        <v>92.673000000000002</v>
      </c>
      <c r="E27" s="63">
        <v>71.965999999999994</v>
      </c>
      <c r="F27" s="63">
        <v>173.435</v>
      </c>
      <c r="G27" s="63">
        <v>154.59899999999999</v>
      </c>
      <c r="H27" s="63">
        <v>252</v>
      </c>
      <c r="I27" s="63"/>
      <c r="J27" s="63"/>
      <c r="K27" s="63"/>
      <c r="M27" s="151"/>
      <c r="N27" s="159"/>
      <c r="O27" s="160"/>
      <c r="P27" s="160"/>
      <c r="Q27" s="160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2:26" ht="21" customHeight="1">
      <c r="B28" s="198" t="s">
        <v>7</v>
      </c>
      <c r="C28" s="62"/>
      <c r="D28" s="63">
        <v>179.27500000000001</v>
      </c>
      <c r="E28" s="63">
        <v>362.63200000000001</v>
      </c>
      <c r="F28" s="63">
        <v>562.03099999999995</v>
      </c>
      <c r="G28" s="63">
        <v>451.54899999999998</v>
      </c>
      <c r="H28" s="63">
        <v>381</v>
      </c>
      <c r="I28" s="63"/>
      <c r="J28" s="63"/>
      <c r="K28" s="63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2:26" ht="21" customHeight="1">
      <c r="B29" s="198" t="s">
        <v>34</v>
      </c>
      <c r="C29" s="62"/>
      <c r="D29" s="63">
        <v>219.19200000000001</v>
      </c>
      <c r="E29" s="63">
        <v>958.04200000000003</v>
      </c>
      <c r="F29" s="63">
        <v>261.45699999999999</v>
      </c>
      <c r="G29" s="63">
        <v>1442.2090000000001</v>
      </c>
      <c r="H29" s="63">
        <v>54</v>
      </c>
      <c r="I29" s="63">
        <v>124</v>
      </c>
      <c r="J29" s="63">
        <v>996</v>
      </c>
      <c r="K29" s="63">
        <v>0</v>
      </c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2:26" ht="21" customHeight="1">
      <c r="B30" s="198" t="s">
        <v>11</v>
      </c>
      <c r="C30" s="62"/>
      <c r="D30" s="63"/>
      <c r="E30" s="63"/>
      <c r="F30" s="63"/>
      <c r="G30" s="63"/>
      <c r="H30" s="63"/>
      <c r="I30" s="63">
        <v>476</v>
      </c>
      <c r="J30" s="63">
        <v>352</v>
      </c>
      <c r="K30" s="63">
        <v>658</v>
      </c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2:26" ht="21" customHeight="1">
      <c r="B31" s="198" t="s">
        <v>47</v>
      </c>
      <c r="C31" s="62"/>
      <c r="D31" s="63"/>
      <c r="E31" s="63"/>
      <c r="F31" s="63"/>
      <c r="G31" s="63"/>
      <c r="H31" s="63"/>
      <c r="I31" s="63">
        <v>219</v>
      </c>
      <c r="J31" s="63">
        <v>117</v>
      </c>
      <c r="K31" s="63">
        <v>141</v>
      </c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2:26" ht="23.25" customHeight="1">
      <c r="B32" s="198" t="s">
        <v>190</v>
      </c>
      <c r="C32" s="62"/>
      <c r="D32" s="63"/>
      <c r="E32" s="63"/>
      <c r="F32" s="63"/>
      <c r="G32" s="63"/>
      <c r="H32" s="63"/>
      <c r="I32" s="63">
        <v>619</v>
      </c>
      <c r="J32" s="63">
        <f>682+3</f>
        <v>685</v>
      </c>
      <c r="K32" s="63">
        <f>766-7</f>
        <v>759</v>
      </c>
      <c r="N32" s="2"/>
      <c r="O32" s="2"/>
      <c r="P32" s="2"/>
      <c r="Q32" s="2"/>
    </row>
    <row r="33" spans="2:17" s="2" customFormat="1" ht="21">
      <c r="B33" s="198" t="s">
        <v>12</v>
      </c>
      <c r="C33" s="62"/>
      <c r="D33" s="63"/>
      <c r="E33" s="63"/>
      <c r="F33" s="63"/>
      <c r="G33" s="63"/>
      <c r="H33" s="63"/>
      <c r="I33" s="63">
        <v>239</v>
      </c>
      <c r="J33" s="63">
        <v>506</v>
      </c>
      <c r="K33" s="63">
        <v>995</v>
      </c>
      <c r="N33"/>
      <c r="O33"/>
      <c r="P33"/>
      <c r="Q33"/>
    </row>
    <row r="34" spans="2:17" s="1" customFormat="1" ht="21">
      <c r="B34" s="208" t="s">
        <v>51</v>
      </c>
      <c r="C34" s="200"/>
      <c r="D34" s="201">
        <f t="shared" ref="D34:J34" si="3">SUM(D20:D33)</f>
        <v>3019.7739999999999</v>
      </c>
      <c r="E34" s="201">
        <f t="shared" si="3"/>
        <v>4672.22</v>
      </c>
      <c r="F34" s="201">
        <f t="shared" si="3"/>
        <v>4016.6819999999998</v>
      </c>
      <c r="G34" s="201">
        <f t="shared" si="3"/>
        <v>6512.3089999999993</v>
      </c>
      <c r="H34" s="201">
        <f t="shared" si="3"/>
        <v>5025</v>
      </c>
      <c r="I34" s="201">
        <f t="shared" si="3"/>
        <v>5080</v>
      </c>
      <c r="J34" s="201">
        <f t="shared" si="3"/>
        <v>5277</v>
      </c>
      <c r="K34" s="201">
        <f t="shared" ref="K34" si="4">SUM(K20:K33)</f>
        <v>5534</v>
      </c>
      <c r="N34" s="11"/>
      <c r="O34" s="11"/>
      <c r="P34" s="11"/>
      <c r="Q34" s="11"/>
    </row>
    <row r="35" spans="2:17" s="11" customFormat="1" ht="21">
      <c r="B35" s="209"/>
      <c r="C35" s="210"/>
      <c r="D35" s="211"/>
      <c r="E35" s="211"/>
      <c r="F35" s="211"/>
      <c r="G35" s="211"/>
      <c r="H35" s="211"/>
      <c r="I35" s="211"/>
      <c r="J35" s="211"/>
      <c r="K35" s="211"/>
      <c r="N35" s="1"/>
      <c r="O35" s="1"/>
      <c r="P35" s="1"/>
      <c r="Q35" s="1"/>
    </row>
    <row r="36" spans="2:17" s="1" customFormat="1" ht="17.25" customHeight="1">
      <c r="B36" s="212" t="s">
        <v>35</v>
      </c>
      <c r="C36" s="211">
        <v>0</v>
      </c>
      <c r="D36" s="211">
        <f>+D17-D34</f>
        <v>-205.93399999999974</v>
      </c>
      <c r="E36" s="211">
        <f t="shared" ref="E36:G36" si="5">+E17-E34</f>
        <v>148.83199999999943</v>
      </c>
      <c r="F36" s="211">
        <f t="shared" si="5"/>
        <v>904.11200000000008</v>
      </c>
      <c r="G36" s="211">
        <f t="shared" si="5"/>
        <v>-727.91499999999905</v>
      </c>
      <c r="H36" s="211">
        <f>+H17-H34-1</f>
        <v>5</v>
      </c>
      <c r="I36" s="211">
        <f>+I17-I34</f>
        <v>-669.39999999999964</v>
      </c>
      <c r="J36" s="211">
        <f>+J17-J34</f>
        <v>280</v>
      </c>
      <c r="K36" s="211">
        <f>+K17-K34</f>
        <v>1196</v>
      </c>
    </row>
    <row r="37" spans="2:17">
      <c r="C37" s="4"/>
      <c r="D37" s="4"/>
      <c r="E37" s="4"/>
      <c r="F37" s="4"/>
      <c r="G37" s="4"/>
      <c r="H37" s="4"/>
      <c r="I37" s="4"/>
    </row>
    <row r="38" spans="2:17">
      <c r="C38" s="13"/>
      <c r="D38" s="13"/>
      <c r="E38" s="13"/>
      <c r="F38" s="13"/>
      <c r="G38" s="13"/>
      <c r="H38" s="13"/>
      <c r="I38" s="13"/>
      <c r="J38" s="31"/>
    </row>
    <row r="39" spans="2:17">
      <c r="C39" s="4"/>
    </row>
    <row r="40" spans="2:17">
      <c r="C40" s="4"/>
    </row>
    <row r="41" spans="2:17">
      <c r="C41" s="4"/>
    </row>
    <row r="42" spans="2:17">
      <c r="C42" s="4"/>
      <c r="N42" s="3"/>
      <c r="O42" s="3"/>
      <c r="P42" s="3"/>
      <c r="Q42" s="3"/>
    </row>
    <row r="43" spans="2:17" s="3" customFormat="1">
      <c r="B43" s="1"/>
      <c r="C43" s="4"/>
      <c r="J43"/>
    </row>
    <row r="44" spans="2:17" s="3" customFormat="1">
      <c r="B44" s="1"/>
      <c r="C44" s="4"/>
      <c r="J44"/>
    </row>
    <row r="45" spans="2:17" s="3" customFormat="1">
      <c r="B45" s="1"/>
      <c r="C45" s="4"/>
      <c r="J45"/>
    </row>
    <row r="46" spans="2:17" s="3" customFormat="1">
      <c r="B46" s="1"/>
      <c r="C46" s="4"/>
      <c r="J46"/>
    </row>
    <row r="47" spans="2:17" s="3" customFormat="1">
      <c r="B47" s="1"/>
      <c r="C47" s="4"/>
      <c r="J47"/>
    </row>
    <row r="48" spans="2:17" s="3" customFormat="1">
      <c r="B48" s="1"/>
      <c r="C48" s="4"/>
      <c r="J48"/>
    </row>
    <row r="49" spans="2:10" s="3" customFormat="1">
      <c r="B49" s="1"/>
      <c r="C49" s="4"/>
      <c r="J49"/>
    </row>
    <row r="50" spans="2:10" s="3" customFormat="1">
      <c r="B50" s="1"/>
      <c r="C50" s="4"/>
      <c r="J50"/>
    </row>
    <row r="51" spans="2:10" s="3" customFormat="1">
      <c r="B51" s="1"/>
      <c r="C51" s="4"/>
      <c r="J51"/>
    </row>
    <row r="52" spans="2:10" s="3" customFormat="1">
      <c r="B52" s="1"/>
      <c r="C52" s="4"/>
      <c r="J52"/>
    </row>
    <row r="53" spans="2:10" s="3" customFormat="1">
      <c r="B53" s="1"/>
      <c r="C53" s="4"/>
      <c r="J53"/>
    </row>
    <row r="54" spans="2:10" s="3" customFormat="1">
      <c r="B54" s="1"/>
      <c r="C54" s="4"/>
      <c r="J54"/>
    </row>
    <row r="55" spans="2:10" s="3" customFormat="1">
      <c r="B55" s="1"/>
      <c r="C55" s="4"/>
      <c r="J55"/>
    </row>
    <row r="56" spans="2:10" s="3" customFormat="1">
      <c r="B56" s="1"/>
      <c r="C56" s="4"/>
      <c r="J56"/>
    </row>
    <row r="57" spans="2:10" s="3" customFormat="1">
      <c r="B57" s="1"/>
      <c r="C57" s="4"/>
      <c r="J57"/>
    </row>
    <row r="58" spans="2:10" s="3" customFormat="1">
      <c r="B58" s="1"/>
      <c r="C58" s="4"/>
      <c r="J58"/>
    </row>
    <row r="59" spans="2:10" s="3" customFormat="1">
      <c r="B59" s="1"/>
      <c r="C59" s="4"/>
      <c r="J59"/>
    </row>
    <row r="60" spans="2:10" s="3" customFormat="1">
      <c r="B60" s="1"/>
      <c r="C60" s="4"/>
      <c r="J60"/>
    </row>
    <row r="61" spans="2:10" s="3" customFormat="1">
      <c r="B61" s="1"/>
      <c r="C61" s="4"/>
      <c r="J61"/>
    </row>
    <row r="62" spans="2:10" s="3" customFormat="1">
      <c r="B62" s="1"/>
      <c r="C62" s="4"/>
      <c r="J62"/>
    </row>
    <row r="63" spans="2:10" s="3" customFormat="1">
      <c r="B63" s="1"/>
      <c r="C63" s="4"/>
      <c r="J63"/>
    </row>
    <row r="64" spans="2:10" s="3" customFormat="1">
      <c r="B64" s="1"/>
      <c r="C64" s="4"/>
      <c r="J64"/>
    </row>
    <row r="65" spans="2:17" s="3" customFormat="1">
      <c r="B65" s="1"/>
      <c r="C65" s="4"/>
      <c r="J65"/>
    </row>
    <row r="66" spans="2:17" s="3" customFormat="1">
      <c r="B66" s="1"/>
      <c r="C66" s="4"/>
      <c r="J66"/>
    </row>
    <row r="67" spans="2:17" s="3" customFormat="1">
      <c r="B67" s="1"/>
      <c r="C67" s="4"/>
      <c r="J67"/>
    </row>
    <row r="68" spans="2:17" s="3" customFormat="1">
      <c r="B68" s="1"/>
      <c r="C68" s="4"/>
      <c r="J68"/>
    </row>
    <row r="69" spans="2:17" s="3" customFormat="1">
      <c r="B69" s="1"/>
      <c r="C69" s="4"/>
      <c r="J69"/>
    </row>
    <row r="70" spans="2:17" s="3" customFormat="1">
      <c r="B70" s="1"/>
      <c r="C70" s="4"/>
      <c r="J70"/>
    </row>
    <row r="71" spans="2:17" s="3" customFormat="1">
      <c r="B71" s="1"/>
      <c r="C71" s="4"/>
      <c r="J71"/>
    </row>
    <row r="72" spans="2:17" s="3" customFormat="1">
      <c r="B72" s="1"/>
      <c r="C72" s="4"/>
      <c r="J72"/>
    </row>
    <row r="73" spans="2:17" s="3" customFormat="1">
      <c r="B73" s="1"/>
      <c r="C73" s="4"/>
      <c r="J73"/>
    </row>
    <row r="74" spans="2:17" s="3" customFormat="1">
      <c r="B74" s="1"/>
      <c r="C74" s="4"/>
      <c r="J74"/>
    </row>
    <row r="75" spans="2:17" s="3" customFormat="1">
      <c r="B75" s="1"/>
      <c r="C75" s="4"/>
      <c r="J75"/>
      <c r="N75"/>
      <c r="O75"/>
      <c r="P75"/>
      <c r="Q75"/>
    </row>
  </sheetData>
  <sortState ref="N21:P27">
    <sortCondition descending="1" ref="N21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CBEC3-5EA1-4B34-B764-A33DC8B045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 Main</vt:lpstr>
      <vt:lpstr>Revenue_detail</vt:lpstr>
      <vt:lpstr>Balance Sheet USD</vt:lpstr>
      <vt:lpstr>Result Report USD</vt:lpstr>
      <vt:lpstr>Historic 2008-2016</vt:lpstr>
      <vt:lpstr>'Historic 2008-2016'!Print_Area</vt:lpstr>
      <vt:lpstr>'Reporting Main'!Print_Area</vt:lpstr>
      <vt:lpstr>'Result Report USD'!Print_Area</vt:lpstr>
      <vt:lpstr>Revenue_detail!Print_Area</vt:lpstr>
    </vt:vector>
  </TitlesOfParts>
  <Company>EITI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Brynjar Wiersholm</dc:creator>
  <cp:lastModifiedBy>Christina Berger</cp:lastModifiedBy>
  <cp:lastPrinted>2017-01-25T09:30:30Z</cp:lastPrinted>
  <dcterms:created xsi:type="dcterms:W3CDTF">2009-11-12T11:38:43Z</dcterms:created>
  <dcterms:modified xsi:type="dcterms:W3CDTF">2018-05-22T13:40:08Z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